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ssandrademaria/WPDayNursery Dropbox/Ali DeMaria/Rotary/Financials/"/>
    </mc:Choice>
  </mc:AlternateContent>
  <xr:revisionPtr revIDLastSave="0" documentId="13_ncr:1_{EC10EE36-DFE6-534E-8734-46416D9AB63E}" xr6:coauthVersionLast="47" xr6:coauthVersionMax="47" xr10:uidLastSave="{00000000-0000-0000-0000-000000000000}"/>
  <bookViews>
    <workbookView xWindow="0" yWindow="500" windowWidth="28800" windowHeight="15520" xr2:uid="{F693E4E6-D7F8-4B75-8DF8-DE793F32BDD3}"/>
  </bookViews>
  <sheets>
    <sheet name="Simple Summary" sheetId="26" r:id="rId1"/>
    <sheet name="Revenue" sheetId="25" r:id="rId2"/>
    <sheet name="Expenses" sheetId="13" r:id="rId3"/>
    <sheet name="Details" sheetId="29" r:id="rId4"/>
    <sheet name="2026.02 Dues calc." sheetId="30" r:id="rId5"/>
  </sheets>
  <definedNames>
    <definedName name="_xlnm.Print_Area" localSheetId="0">'Simple Summary'!$A$2:$E$54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3" l="1"/>
  <c r="K17" i="13"/>
  <c r="L17" i="13" s="1"/>
  <c r="I29" i="13"/>
  <c r="I13" i="13"/>
  <c r="I13" i="25"/>
  <c r="I18" i="25"/>
  <c r="I17" i="25"/>
  <c r="D40" i="26"/>
  <c r="J24" i="25"/>
  <c r="H24" i="25"/>
  <c r="K23" i="25"/>
  <c r="L23" i="25"/>
  <c r="K21" i="25"/>
  <c r="L21" i="25"/>
  <c r="K20" i="25"/>
  <c r="L20" i="25" s="1"/>
  <c r="H13" i="25"/>
  <c r="K15" i="13"/>
  <c r="L15" i="13" s="1"/>
  <c r="E30" i="29"/>
  <c r="E31" i="29"/>
  <c r="K22" i="13"/>
  <c r="L22" i="13" s="1"/>
  <c r="K21" i="13"/>
  <c r="L21" i="13" s="1"/>
  <c r="E33" i="30"/>
  <c r="E21" i="30"/>
  <c r="E29" i="30" s="1"/>
  <c r="E30" i="30" s="1"/>
  <c r="E19" i="30"/>
  <c r="D14" i="30"/>
  <c r="G12" i="30"/>
  <c r="G11" i="30"/>
  <c r="G10" i="30"/>
  <c r="G9" i="30"/>
  <c r="G8" i="30"/>
  <c r="G14" i="30" s="1"/>
  <c r="G19" i="30" s="1"/>
  <c r="G21" i="30" s="1"/>
  <c r="E34" i="30" s="1"/>
  <c r="E35" i="30" l="1"/>
  <c r="D46" i="26" l="1"/>
  <c r="D47" i="26"/>
  <c r="D31" i="26"/>
  <c r="D35" i="26"/>
  <c r="D37" i="26"/>
  <c r="D39" i="26"/>
  <c r="D42" i="26"/>
  <c r="D44" i="26"/>
  <c r="D45" i="26"/>
  <c r="D48" i="26"/>
  <c r="D49" i="26"/>
  <c r="D30" i="26"/>
  <c r="D24" i="26"/>
  <c r="D17" i="26" l="1"/>
  <c r="D19" i="26"/>
  <c r="D20" i="26"/>
  <c r="D22" i="26"/>
  <c r="D21" i="26"/>
  <c r="D23" i="26"/>
  <c r="D16" i="26"/>
  <c r="C22" i="29"/>
  <c r="D21" i="29"/>
  <c r="C21" i="29"/>
  <c r="D19" i="29"/>
  <c r="D18" i="29"/>
  <c r="C20" i="29"/>
  <c r="C19" i="29"/>
  <c r="C18" i="29"/>
  <c r="E29" i="29"/>
  <c r="J13" i="13" s="1"/>
  <c r="D38" i="26" s="1"/>
  <c r="E25" i="29"/>
  <c r="J25" i="13" s="1"/>
  <c r="D50" i="26" s="1"/>
  <c r="L10" i="13"/>
  <c r="E24" i="29"/>
  <c r="J18" i="13" s="1"/>
  <c r="D43" i="26" s="1"/>
  <c r="E18" i="29" l="1"/>
  <c r="J7" i="13" s="1"/>
  <c r="D32" i="26" s="1"/>
  <c r="E21" i="29"/>
  <c r="J11" i="13" s="1"/>
  <c r="D36" i="26" s="1"/>
  <c r="D8" i="29" l="1"/>
  <c r="C8" i="29"/>
  <c r="D7" i="29"/>
  <c r="C7" i="29"/>
  <c r="D5" i="29"/>
  <c r="D4" i="29"/>
  <c r="D3" i="29"/>
  <c r="C6" i="29"/>
  <c r="E6" i="29" s="1"/>
  <c r="J11" i="25" s="1"/>
  <c r="D12" i="26" s="1"/>
  <c r="C5" i="29"/>
  <c r="C4" i="29"/>
  <c r="C3" i="29"/>
  <c r="H29" i="13"/>
  <c r="H28" i="25" s="1"/>
  <c r="E22" i="29"/>
  <c r="J16" i="13" s="1"/>
  <c r="D41" i="26" s="1"/>
  <c r="E20" i="29"/>
  <c r="J9" i="13" s="1"/>
  <c r="D34" i="26" s="1"/>
  <c r="E19" i="29"/>
  <c r="J8" i="13" s="1"/>
  <c r="D33" i="26" l="1"/>
  <c r="D52" i="26" s="1"/>
  <c r="J29" i="13"/>
  <c r="K11" i="25"/>
  <c r="L11" i="25" s="1"/>
  <c r="J10" i="25"/>
  <c r="D11" i="26" s="1"/>
  <c r="E3" i="29"/>
  <c r="J6" i="25" s="1"/>
  <c r="D7" i="26" s="1"/>
  <c r="E8" i="29"/>
  <c r="E5" i="29"/>
  <c r="J8" i="25" s="1"/>
  <c r="D9" i="26" s="1"/>
  <c r="E7" i="29"/>
  <c r="J17" i="25" s="1"/>
  <c r="D18" i="26" s="1"/>
  <c r="D26" i="26" s="1"/>
  <c r="E4" i="29"/>
  <c r="J7" i="25" s="1"/>
  <c r="D8" i="26" s="1"/>
  <c r="H26" i="25"/>
  <c r="J5" i="25" l="1"/>
  <c r="K6" i="25"/>
  <c r="L6" i="25" s="1"/>
  <c r="K7" i="25"/>
  <c r="L7" i="25" s="1"/>
  <c r="J13" i="25" l="1"/>
  <c r="J26" i="25" s="1"/>
  <c r="D6" i="26"/>
  <c r="K8" i="13"/>
  <c r="K18" i="25"/>
  <c r="D14" i="26" l="1"/>
  <c r="D28" i="26" s="1"/>
  <c r="D54" i="26" s="1"/>
  <c r="D13" i="25"/>
  <c r="E13" i="25"/>
  <c r="F13" i="25"/>
  <c r="G13" i="25"/>
  <c r="G17" i="25" l="1"/>
  <c r="L8" i="13" l="1"/>
  <c r="K18" i="13" l="1"/>
  <c r="L18" i="13" s="1"/>
  <c r="G16" i="25" l="1"/>
  <c r="G15" i="25"/>
  <c r="K15" i="25"/>
  <c r="L15" i="25" s="1"/>
  <c r="K19" i="25"/>
  <c r="L19" i="25" s="1"/>
  <c r="L18" i="25"/>
  <c r="K22" i="25"/>
  <c r="L22" i="25" s="1"/>
  <c r="K17" i="25"/>
  <c r="L17" i="25" s="1"/>
  <c r="K8" i="25"/>
  <c r="K13" i="25" s="1"/>
  <c r="L13" i="25" l="1"/>
  <c r="L8" i="25"/>
  <c r="G24" i="25"/>
  <c r="K16" i="25"/>
  <c r="K24" i="25" l="1"/>
  <c r="L16" i="25"/>
  <c r="L24" i="25" l="1"/>
  <c r="K26" i="25"/>
  <c r="K25" i="13"/>
  <c r="L25" i="13" s="1"/>
  <c r="K14" i="13"/>
  <c r="L14" i="13" s="1"/>
  <c r="F15" i="25"/>
  <c r="F19" i="25"/>
  <c r="F24" i="25" l="1"/>
  <c r="F26" i="25" s="1"/>
  <c r="F29" i="13"/>
  <c r="F28" i="25" s="1"/>
  <c r="F29" i="25" l="1"/>
  <c r="D19" i="25"/>
  <c r="D24" i="25" s="1"/>
  <c r="E19" i="25"/>
  <c r="K23" i="13"/>
  <c r="L23" i="13" s="1"/>
  <c r="K24" i="13"/>
  <c r="L24" i="13" s="1"/>
  <c r="K13" i="13"/>
  <c r="L13" i="13" s="1"/>
  <c r="K6" i="13"/>
  <c r="L6" i="13" s="1"/>
  <c r="K16" i="13"/>
  <c r="L16" i="13" s="1"/>
  <c r="K11" i="13"/>
  <c r="L11" i="13" s="1"/>
  <c r="K9" i="13"/>
  <c r="L9" i="13" s="1"/>
  <c r="K7" i="13"/>
  <c r="L7" i="13" l="1"/>
  <c r="E24" i="25"/>
  <c r="E26" i="25" s="1"/>
  <c r="D26" i="25"/>
  <c r="G26" i="25"/>
  <c r="L26" i="25"/>
  <c r="K19" i="13" l="1"/>
  <c r="E29" i="13"/>
  <c r="E28" i="25" s="1"/>
  <c r="E29" i="25" s="1"/>
  <c r="G29" i="13"/>
  <c r="G28" i="25" s="1"/>
  <c r="G29" i="25" s="1"/>
  <c r="D29" i="13"/>
  <c r="D28" i="25" s="1"/>
  <c r="D29" i="25" s="1"/>
  <c r="L19" i="13" l="1"/>
  <c r="H29" i="25" l="1"/>
  <c r="K5" i="13" l="1"/>
  <c r="L5" i="13" l="1"/>
  <c r="K12" i="13" l="1"/>
  <c r="L12" i="13" l="1"/>
  <c r="K20" i="13" l="1"/>
  <c r="K29" i="13" s="1"/>
  <c r="J28" i="25"/>
  <c r="J29" i="25" s="1"/>
  <c r="L20" i="13" l="1"/>
  <c r="K28" i="25"/>
  <c r="L29" i="13"/>
  <c r="L28" i="25" l="1"/>
  <c r="K29" i="25"/>
</calcChain>
</file>

<file path=xl/sharedStrings.xml><?xml version="1.0" encoding="utf-8"?>
<sst xmlns="http://schemas.openxmlformats.org/spreadsheetml/2006/main" count="208" uniqueCount="139">
  <si>
    <t>FY 2018 - 19 Expenses</t>
  </si>
  <si>
    <t>Increase From Last Year</t>
  </si>
  <si>
    <t>% Increase from Last FY</t>
  </si>
  <si>
    <t>Subtotal:</t>
  </si>
  <si>
    <t>Name</t>
  </si>
  <si>
    <t>FY 2019 - 20 Expenses</t>
  </si>
  <si>
    <t>FY 2018 - 19 Revenue</t>
  </si>
  <si>
    <t>FY 2019 - 20 Revenue</t>
  </si>
  <si>
    <t>Net Income</t>
  </si>
  <si>
    <t>FY 2020 - 21 Revenue</t>
  </si>
  <si>
    <t xml:space="preserve">FY 2020 - 21 Expenses </t>
  </si>
  <si>
    <t>FY 2021 - 22 Revenue</t>
  </si>
  <si>
    <t>FY 2021 - 22 Expenses</t>
  </si>
  <si>
    <t>14.20.38</t>
  </si>
  <si>
    <t>Grand Total</t>
  </si>
  <si>
    <t>Object Code</t>
  </si>
  <si>
    <t>All Units Total Revenue</t>
  </si>
  <si>
    <t>All Units Total Expenses</t>
  </si>
  <si>
    <t>Expenses Total:</t>
  </si>
  <si>
    <t>Net Income:</t>
  </si>
  <si>
    <t>Revenue Total:</t>
  </si>
  <si>
    <t xml:space="preserve">            </t>
  </si>
  <si>
    <t>FY 2025-26</t>
  </si>
  <si>
    <t>Happy Box</t>
  </si>
  <si>
    <t>Raffle</t>
  </si>
  <si>
    <t>Beer Garden</t>
  </si>
  <si>
    <t>RI Dues</t>
  </si>
  <si>
    <t>District Dues</t>
  </si>
  <si>
    <t>RI Foundaiton (due to)</t>
  </si>
  <si>
    <t>Caterer</t>
  </si>
  <si>
    <t>Rent</t>
  </si>
  <si>
    <t>Pres Elect PETS</t>
  </si>
  <si>
    <t>RI Convention</t>
  </si>
  <si>
    <t>Website</t>
  </si>
  <si>
    <t>Payment system fees (Square, etc)</t>
  </si>
  <si>
    <t>Storage unit</t>
  </si>
  <si>
    <t>PO Box</t>
  </si>
  <si>
    <t>Killarney Support Activity</t>
  </si>
  <si>
    <t>Dictionary Project</t>
  </si>
  <si>
    <t>Amount per</t>
  </si>
  <si>
    <t>Total Cost</t>
  </si>
  <si>
    <t>RI Foundation (due to)</t>
  </si>
  <si>
    <t>Number</t>
  </si>
  <si>
    <t>Notes</t>
  </si>
  <si>
    <t>Variables</t>
  </si>
  <si>
    <t># of Meetings</t>
  </si>
  <si>
    <t># of attendees at each meeting</t>
  </si>
  <si>
    <t>Cost of meal</t>
  </si>
  <si>
    <t>WP Chamber membership</t>
  </si>
  <si>
    <t>Awards/pins</t>
  </si>
  <si>
    <t># of Members (Total indiv)</t>
  </si>
  <si>
    <t># Corporate Memberships</t>
  </si>
  <si>
    <t># Family Memberships</t>
  </si>
  <si>
    <t># Honorary Memberships</t>
  </si>
  <si>
    <t>Expenses</t>
  </si>
  <si>
    <t>Revenues</t>
  </si>
  <si>
    <t>Indiv. Membership Dues</t>
  </si>
  <si>
    <t>Corporate Member Dues</t>
  </si>
  <si>
    <t>Family Member Dues</t>
  </si>
  <si>
    <t>* Honorary members do not pay dues</t>
  </si>
  <si>
    <t>Club Individual Dues amount</t>
  </si>
  <si>
    <t>Club Corporate Dues amount</t>
  </si>
  <si>
    <t>Club Family Dues amount</t>
  </si>
  <si>
    <t xml:space="preserve">*Make changes Here if necessary </t>
  </si>
  <si>
    <t>Dues</t>
  </si>
  <si>
    <t>Dictionary</t>
  </si>
  <si>
    <t>Meal Fee to members</t>
  </si>
  <si>
    <t>Non eater fee</t>
  </si>
  <si>
    <t># of non eaters at each meeting</t>
  </si>
  <si>
    <t>Revenue</t>
  </si>
  <si>
    <t xml:space="preserve">Expenses </t>
  </si>
  <si>
    <t>Expense Total:</t>
  </si>
  <si>
    <t>DACdb Expenses</t>
  </si>
  <si>
    <t xml:space="preserve">DACdb Finance </t>
  </si>
  <si>
    <t>Sign up genius</t>
  </si>
  <si>
    <t>Happy Box Restricted</t>
  </si>
  <si>
    <t>YTD</t>
  </si>
  <si>
    <t>St Patricks Day</t>
  </si>
  <si>
    <t>Boat Parade</t>
  </si>
  <si>
    <t>Happy Box - Restricted</t>
  </si>
  <si>
    <t>DACdb Engagement +General</t>
  </si>
  <si>
    <t>Boat parade</t>
  </si>
  <si>
    <t xml:space="preserve">St. patricks </t>
  </si>
  <si>
    <t>Youth Programs</t>
  </si>
  <si>
    <t>RYLA, Interact/Rotaract</t>
  </si>
  <si>
    <t>Youth Programs (RYLA, Interact, Roteract)</t>
  </si>
  <si>
    <t>Office Expenses/supplies</t>
  </si>
  <si>
    <t>Object Name</t>
  </si>
  <si>
    <t>GL#</t>
  </si>
  <si>
    <t>44 meetings =12 for board mtgs</t>
  </si>
  <si>
    <t>Rotary International Dues</t>
  </si>
  <si>
    <t>Club Fellowship/Holiday/Installation</t>
  </si>
  <si>
    <t>Meal Receipts+non-eaters</t>
  </si>
  <si>
    <t>Parktoberfest</t>
  </si>
  <si>
    <t>Dues Income</t>
  </si>
  <si>
    <t>Sustaining Member Income</t>
  </si>
  <si>
    <t>Office Expenses/Supplies</t>
  </si>
  <si>
    <t>Miscellaneous Income/DDF</t>
  </si>
  <si>
    <t xml:space="preserve">Winter Park Rotary Club </t>
  </si>
  <si>
    <t>Office Expenses/supplies/media</t>
  </si>
  <si>
    <t>$41.25   25-26</t>
  </si>
  <si>
    <t>42.75     26-27</t>
  </si>
  <si>
    <t>44.36     27-38</t>
  </si>
  <si>
    <t>46.50     28-29 &amp; thereafter</t>
  </si>
  <si>
    <t>DACdb Ez Giving</t>
  </si>
  <si>
    <t>Rotary Club of Winter Park</t>
  </si>
  <si>
    <t>Dues Calculation Review</t>
  </si>
  <si>
    <t>DUES EXPENSE SUMMARY</t>
  </si>
  <si>
    <t>Per Member Expense</t>
  </si>
  <si>
    <t>New Member - After Jan 1</t>
  </si>
  <si>
    <t>July 1</t>
  </si>
  <si>
    <t>Club Gen Liability Ins</t>
  </si>
  <si>
    <t>Club Dues</t>
  </si>
  <si>
    <t>RI Council on Legislation</t>
  </si>
  <si>
    <t>Rotary Magazine</t>
  </si>
  <si>
    <t>District</t>
  </si>
  <si>
    <t>RI Admin Exp</t>
  </si>
  <si>
    <t>TOTAL</t>
  </si>
  <si>
    <t>SUSTAINING MEMBER ADDED</t>
  </si>
  <si>
    <t>Annual Mem Expense</t>
  </si>
  <si>
    <t>New Member Expens (after Jan 1)</t>
  </si>
  <si>
    <t>Annual Dues - RI &amp; District</t>
  </si>
  <si>
    <t>Susttaining  Member</t>
  </si>
  <si>
    <t>*</t>
  </si>
  <si>
    <t xml:space="preserve">* For the club to maintain its status as a Sustaining Member Club, </t>
  </si>
  <si>
    <t>members who join after 1 January still need to make the $100 TRF donation</t>
  </si>
  <si>
    <t>MEMBER EXPENSES &amp; CLUB INCOME</t>
  </si>
  <si>
    <t>ANNUAL FOR ESTABLISHED MEMBERS</t>
  </si>
  <si>
    <t>To RI Foundation</t>
  </si>
  <si>
    <t>Annual Club Dues</t>
  </si>
  <si>
    <t>Annual Exp for member</t>
  </si>
  <si>
    <t>Money for club expenses</t>
  </si>
  <si>
    <t>SEMI ANNUAL FOR NEW MEMBERS</t>
  </si>
  <si>
    <t>Semi Annual Dues</t>
  </si>
  <si>
    <t>Semi Annual Exp for member</t>
  </si>
  <si>
    <t xml:space="preserve">From Curly </t>
  </si>
  <si>
    <t>FY 2025-26 Adopted Budget</t>
  </si>
  <si>
    <t>FY 2026-27 Proposed Budget</t>
  </si>
  <si>
    <t>Professional Service Expense (club admin)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</si>
</sst>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22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i/>
      <sz val="10"/>
      <color indexed="8"/>
      <name val="Arial"/>
      <family val="2"/>
    </font>
    <font>
      <b/>
      <sz val="10"/>
      <color theme="1"/>
      <name val="Arial"/>
      <family val="2"/>
    </font>
    <font>
      <i/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212121"/>
      <name val="Aptos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>
      <alignment vertical="top"/>
    </xf>
    <xf numFmtId="9" fontId="4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0" fontId="4" fillId="0" borderId="0">
      <alignment vertical="top"/>
    </xf>
    <xf numFmtId="9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66">
    <xf numFmtId="0" fontId="0" fillId="0" borderId="0" xfId="0">
      <alignment vertical="top"/>
    </xf>
    <xf numFmtId="3" fontId="4" fillId="0" borderId="0" xfId="0" applyNumberFormat="1" applyFont="1" applyAlignment="1">
      <alignment horizontal="right"/>
    </xf>
    <xf numFmtId="9" fontId="4" fillId="0" borderId="0" xfId="1" applyFont="1" applyAlignment="1">
      <alignment horizontal="right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4" fillId="0" borderId="1" xfId="0" applyFont="1" applyBorder="1" applyAlignment="1"/>
    <xf numFmtId="0" fontId="10" fillId="0" borderId="1" xfId="0" applyFont="1" applyBorder="1" applyAlignment="1"/>
    <xf numFmtId="9" fontId="4" fillId="0" borderId="0" xfId="1" applyFont="1" applyFill="1" applyAlignment="1">
      <alignment horizontal="right"/>
    </xf>
    <xf numFmtId="3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4" fillId="0" borderId="0" xfId="0" applyFont="1" applyAlignment="1"/>
    <xf numFmtId="4" fontId="9" fillId="0" borderId="1" xfId="0" applyNumberFormat="1" applyFont="1" applyBorder="1" applyAlignment="1">
      <alignment horizontal="center" wrapText="1" readingOrder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/>
    <xf numFmtId="9" fontId="4" fillId="0" borderId="1" xfId="0" applyNumberFormat="1" applyFont="1" applyBorder="1" applyAlignment="1">
      <alignment horizontal="right"/>
    </xf>
    <xf numFmtId="4" fontId="4" fillId="0" borderId="0" xfId="0" applyNumberFormat="1" applyFont="1" applyAlignment="1"/>
    <xf numFmtId="3" fontId="4" fillId="0" borderId="0" xfId="0" applyNumberFormat="1" applyFont="1" applyAlignment="1"/>
    <xf numFmtId="0" fontId="9" fillId="3" borderId="1" xfId="0" applyFont="1" applyFill="1" applyBorder="1" applyAlignment="1">
      <alignment horizontal="right"/>
    </xf>
    <xf numFmtId="9" fontId="9" fillId="3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" fontId="9" fillId="0" borderId="0" xfId="0" applyNumberFormat="1" applyFont="1" applyAlignment="1">
      <alignment horizontal="right" wrapText="1" readingOrder="1"/>
    </xf>
    <xf numFmtId="3" fontId="9" fillId="0" borderId="0" xfId="0" applyNumberFormat="1" applyFont="1" applyAlignment="1">
      <alignment horizontal="right"/>
    </xf>
    <xf numFmtId="9" fontId="9" fillId="0" borderId="0" xfId="1" applyFont="1" applyBorder="1" applyAlignment="1">
      <alignment horizontal="right"/>
    </xf>
    <xf numFmtId="9" fontId="9" fillId="0" borderId="0" xfId="1" applyFont="1" applyFill="1" applyBorder="1" applyAlignment="1">
      <alignment horizontal="right"/>
    </xf>
    <xf numFmtId="3" fontId="9" fillId="0" borderId="0" xfId="0" applyNumberFormat="1" applyFont="1" applyAlignment="1">
      <alignment horizontal="right" wrapText="1"/>
    </xf>
    <xf numFmtId="9" fontId="9" fillId="0" borderId="0" xfId="1" applyFont="1" applyFill="1" applyBorder="1" applyAlignment="1">
      <alignment horizontal="right" wrapText="1"/>
    </xf>
    <xf numFmtId="4" fontId="9" fillId="0" borderId="0" xfId="0" applyNumberFormat="1" applyFont="1" applyAlignment="1">
      <alignment horizontal="center" wrapText="1" readingOrder="1"/>
    </xf>
    <xf numFmtId="10" fontId="9" fillId="0" borderId="0" xfId="1" applyNumberFormat="1" applyFont="1" applyFill="1" applyBorder="1" applyAlignment="1">
      <alignment horizontal="right"/>
    </xf>
    <xf numFmtId="4" fontId="11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center"/>
    </xf>
    <xf numFmtId="0" fontId="9" fillId="0" borderId="1" xfId="0" applyFont="1" applyBorder="1" applyAlignment="1"/>
    <xf numFmtId="0" fontId="9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0" fontId="9" fillId="5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/>
    <xf numFmtId="3" fontId="4" fillId="0" borderId="2" xfId="0" applyNumberFormat="1" applyFont="1" applyBorder="1" applyAlignment="1">
      <alignment horizontal="right"/>
    </xf>
    <xf numFmtId="3" fontId="9" fillId="2" borderId="1" xfId="0" applyNumberFormat="1" applyFont="1" applyFill="1" applyBorder="1" applyAlignment="1"/>
    <xf numFmtId="3" fontId="9" fillId="0" borderId="1" xfId="0" applyNumberFormat="1" applyFont="1" applyBorder="1" applyAlignment="1"/>
    <xf numFmtId="3" fontId="4" fillId="4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9" fillId="2" borderId="1" xfId="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horizontal="right"/>
    </xf>
    <xf numFmtId="3" fontId="4" fillId="0" borderId="1" xfId="0" applyNumberFormat="1" applyFont="1" applyBorder="1" applyAlignment="1"/>
    <xf numFmtId="3" fontId="9" fillId="0" borderId="1" xfId="0" applyNumberFormat="1" applyFont="1" applyBorder="1" applyAlignment="1">
      <alignment horizontal="center" wrapText="1" readingOrder="1"/>
    </xf>
    <xf numFmtId="3" fontId="9" fillId="4" borderId="1" xfId="0" applyNumberFormat="1" applyFont="1" applyFill="1" applyBorder="1" applyAlignment="1">
      <alignment horizontal="center" wrapText="1" readingOrder="1"/>
    </xf>
    <xf numFmtId="3" fontId="9" fillId="0" borderId="1" xfId="0" applyNumberFormat="1" applyFont="1" applyBorder="1" applyAlignment="1">
      <alignment horizontal="center" wrapText="1"/>
    </xf>
    <xf numFmtId="3" fontId="9" fillId="2" borderId="1" xfId="0" applyNumberFormat="1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right"/>
    </xf>
    <xf numFmtId="3" fontId="12" fillId="3" borderId="1" xfId="0" applyNumberFormat="1" applyFont="1" applyFill="1" applyBorder="1" applyAlignment="1">
      <alignment horizontal="right"/>
    </xf>
    <xf numFmtId="9" fontId="4" fillId="0" borderId="0" xfId="0" applyNumberFormat="1" applyFont="1" applyAlignment="1">
      <alignment horizontal="right"/>
    </xf>
    <xf numFmtId="9" fontId="9" fillId="0" borderId="1" xfId="0" applyNumberFormat="1" applyFont="1" applyBorder="1" applyAlignment="1">
      <alignment horizontal="center" wrapText="1"/>
    </xf>
    <xf numFmtId="9" fontId="4" fillId="0" borderId="1" xfId="0" applyNumberFormat="1" applyFont="1" applyBorder="1" applyAlignment="1"/>
    <xf numFmtId="9" fontId="9" fillId="3" borderId="1" xfId="0" applyNumberFormat="1" applyFont="1" applyFill="1" applyBorder="1" applyAlignment="1"/>
    <xf numFmtId="9" fontId="9" fillId="0" borderId="1" xfId="0" applyNumberFormat="1" applyFont="1" applyBorder="1" applyAlignment="1"/>
    <xf numFmtId="0" fontId="9" fillId="2" borderId="1" xfId="0" applyFont="1" applyFill="1" applyBorder="1" applyAlignment="1">
      <alignment horizontal="right"/>
    </xf>
    <xf numFmtId="3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9" fontId="9" fillId="2" borderId="1" xfId="0" applyNumberFormat="1" applyFont="1" applyFill="1" applyBorder="1" applyAlignment="1">
      <alignment horizontal="right"/>
    </xf>
    <xf numFmtId="4" fontId="9" fillId="2" borderId="1" xfId="0" applyNumberFormat="1" applyFont="1" applyFill="1" applyBorder="1" applyAlignment="1">
      <alignment horizontal="right"/>
    </xf>
    <xf numFmtId="9" fontId="9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center" wrapText="1"/>
    </xf>
    <xf numFmtId="3" fontId="9" fillId="4" borderId="1" xfId="0" applyNumberFormat="1" applyFont="1" applyFill="1" applyBorder="1" applyAlignment="1">
      <alignment horizontal="center" wrapText="1"/>
    </xf>
    <xf numFmtId="3" fontId="9" fillId="3" borderId="1" xfId="0" applyNumberFormat="1" applyFont="1" applyFill="1" applyBorder="1" applyAlignment="1">
      <alignment horizontal="right"/>
    </xf>
    <xf numFmtId="3" fontId="9" fillId="0" borderId="0" xfId="0" applyNumberFormat="1" applyFont="1" applyAlignment="1">
      <alignment horizontal="right" wrapText="1" readingOrder="1"/>
    </xf>
    <xf numFmtId="3" fontId="9" fillId="0" borderId="0" xfId="0" applyNumberFormat="1" applyFont="1" applyAlignment="1">
      <alignment horizontal="center" wrapText="1" readingOrder="1"/>
    </xf>
    <xf numFmtId="3" fontId="11" fillId="0" borderId="0" xfId="0" applyNumberFormat="1" applyFont="1" applyAlignment="1">
      <alignment horizontal="left"/>
    </xf>
    <xf numFmtId="0" fontId="13" fillId="0" borderId="0" xfId="0" applyFont="1" applyAlignment="1"/>
    <xf numFmtId="3" fontId="5" fillId="0" borderId="1" xfId="0" applyNumberFormat="1" applyFont="1" applyBorder="1" applyAlignment="1"/>
    <xf numFmtId="44" fontId="0" fillId="0" borderId="0" xfId="9" applyFont="1" applyAlignment="1">
      <alignment vertical="top"/>
    </xf>
    <xf numFmtId="44" fontId="9" fillId="0" borderId="1" xfId="9" applyFont="1" applyBorder="1" applyAlignment="1">
      <alignment horizontal="center"/>
    </xf>
    <xf numFmtId="44" fontId="4" fillId="0" borderId="1" xfId="9" applyFont="1" applyBorder="1" applyAlignment="1"/>
    <xf numFmtId="0" fontId="4" fillId="0" borderId="1" xfId="0" applyFont="1" applyBorder="1">
      <alignment vertical="top"/>
    </xf>
    <xf numFmtId="0" fontId="9" fillId="0" borderId="0" xfId="0" applyFont="1" applyAlignment="1"/>
    <xf numFmtId="44" fontId="4" fillId="0" borderId="0" xfId="9" applyFont="1" applyBorder="1" applyAlignment="1"/>
    <xf numFmtId="0" fontId="11" fillId="0" borderId="0" xfId="0" applyFont="1">
      <alignment vertical="top"/>
    </xf>
    <xf numFmtId="0" fontId="4" fillId="6" borderId="0" xfId="0" applyFont="1" applyFill="1">
      <alignment vertical="top"/>
    </xf>
    <xf numFmtId="3" fontId="4" fillId="0" borderId="2" xfId="0" applyNumberFormat="1" applyFont="1" applyBorder="1" applyAlignment="1"/>
    <xf numFmtId="0" fontId="0" fillId="0" borderId="1" xfId="0" applyBorder="1">
      <alignment vertical="top"/>
    </xf>
    <xf numFmtId="0" fontId="0" fillId="6" borderId="1" xfId="0" applyFill="1" applyBorder="1">
      <alignment vertical="top"/>
    </xf>
    <xf numFmtId="0" fontId="9" fillId="0" borderId="0" xfId="0" applyFont="1">
      <alignment vertical="top"/>
    </xf>
    <xf numFmtId="0" fontId="4" fillId="0" borderId="0" xfId="0" applyFont="1">
      <alignment vertical="top"/>
    </xf>
    <xf numFmtId="0" fontId="4" fillId="0" borderId="0" xfId="0" applyFont="1" applyAlignment="1">
      <alignment horizontal="right"/>
    </xf>
    <xf numFmtId="2" fontId="4" fillId="0" borderId="0" xfId="17" applyNumberFormat="1" applyFont="1" applyAlignment="1"/>
    <xf numFmtId="43" fontId="4" fillId="0" borderId="1" xfId="17" applyFont="1" applyBorder="1" applyAlignment="1">
      <alignment horizontal="right"/>
    </xf>
    <xf numFmtId="164" fontId="4" fillId="0" borderId="0" xfId="17" applyNumberFormat="1" applyFont="1" applyAlignment="1"/>
    <xf numFmtId="164" fontId="9" fillId="5" borderId="1" xfId="17" applyNumberFormat="1" applyFont="1" applyFill="1" applyBorder="1" applyAlignment="1">
      <alignment horizontal="center" wrapText="1"/>
    </xf>
    <xf numFmtId="164" fontId="9" fillId="2" borderId="1" xfId="17" applyNumberFormat="1" applyFont="1" applyFill="1" applyBorder="1" applyAlignment="1">
      <alignment horizontal="center" wrapText="1"/>
    </xf>
    <xf numFmtId="164" fontId="4" fillId="2" borderId="1" xfId="17" applyNumberFormat="1" applyFont="1" applyFill="1" applyBorder="1" applyAlignment="1"/>
    <xf numFmtId="164" fontId="4" fillId="0" borderId="1" xfId="17" applyNumberFormat="1" applyFont="1" applyBorder="1" applyAlignment="1"/>
    <xf numFmtId="164" fontId="9" fillId="2" borderId="1" xfId="17" applyNumberFormat="1" applyFont="1" applyFill="1" applyBorder="1" applyAlignment="1"/>
    <xf numFmtId="164" fontId="9" fillId="0" borderId="1" xfId="17" applyNumberFormat="1" applyFont="1" applyBorder="1" applyAlignment="1"/>
    <xf numFmtId="164" fontId="4" fillId="0" borderId="1" xfId="17" applyNumberFormat="1" applyFont="1" applyBorder="1" applyAlignment="1">
      <alignment horizontal="right"/>
    </xf>
    <xf numFmtId="164" fontId="9" fillId="2" borderId="1" xfId="17" applyNumberFormat="1" applyFont="1" applyFill="1" applyBorder="1" applyAlignment="1">
      <alignment horizontal="right"/>
    </xf>
    <xf numFmtId="164" fontId="9" fillId="0" borderId="1" xfId="17" applyNumberFormat="1" applyFont="1" applyBorder="1" applyAlignment="1">
      <alignment horizontal="right"/>
    </xf>
    <xf numFmtId="164" fontId="12" fillId="3" borderId="1" xfId="17" applyNumberFormat="1" applyFont="1" applyFill="1" applyBorder="1" applyAlignment="1">
      <alignment horizontal="right"/>
    </xf>
    <xf numFmtId="164" fontId="0" fillId="0" borderId="1" xfId="17" applyNumberFormat="1" applyFont="1" applyBorder="1" applyAlignment="1">
      <alignment vertical="top"/>
    </xf>
    <xf numFmtId="164" fontId="4" fillId="0" borderId="0" xfId="17" applyNumberFormat="1" applyFont="1" applyBorder="1" applyAlignment="1"/>
    <xf numFmtId="164" fontId="9" fillId="0" borderId="0" xfId="17" applyNumberFormat="1" applyFont="1" applyAlignment="1">
      <alignment horizontal="center"/>
    </xf>
    <xf numFmtId="164" fontId="9" fillId="0" borderId="0" xfId="17" applyNumberFormat="1" applyFont="1" applyBorder="1" applyAlignment="1">
      <alignment horizontal="center"/>
    </xf>
    <xf numFmtId="164" fontId="0" fillId="0" borderId="0" xfId="17" applyNumberFormat="1" applyFont="1" applyAlignment="1">
      <alignment vertical="top"/>
    </xf>
    <xf numFmtId="164" fontId="9" fillId="0" borderId="1" xfId="17" applyNumberFormat="1" applyFont="1" applyBorder="1" applyAlignment="1">
      <alignment horizontal="center"/>
    </xf>
    <xf numFmtId="1" fontId="4" fillId="6" borderId="1" xfId="0" applyNumberFormat="1" applyFont="1" applyFill="1" applyBorder="1" applyAlignment="1"/>
    <xf numFmtId="1" fontId="0" fillId="6" borderId="1" xfId="0" applyNumberFormat="1" applyFill="1" applyBorder="1">
      <alignment vertical="top"/>
    </xf>
    <xf numFmtId="1" fontId="0" fillId="0" borderId="0" xfId="0" applyNumberFormat="1">
      <alignment vertical="top"/>
    </xf>
    <xf numFmtId="0" fontId="4" fillId="0" borderId="1" xfId="0" applyFont="1" applyBorder="1" applyAlignment="1">
      <alignment horizontal="right"/>
    </xf>
    <xf numFmtId="164" fontId="0" fillId="0" borderId="0" xfId="0" applyNumberFormat="1">
      <alignment vertical="top"/>
    </xf>
    <xf numFmtId="164" fontId="0" fillId="0" borderId="0" xfId="9" applyNumberFormat="1" applyFont="1" applyAlignment="1">
      <alignment vertical="top"/>
    </xf>
    <xf numFmtId="44" fontId="0" fillId="0" borderId="0" xfId="0" applyNumberFormat="1">
      <alignment vertical="top"/>
    </xf>
    <xf numFmtId="43" fontId="10" fillId="0" borderId="1" xfId="17" applyFont="1" applyBorder="1" applyAlignment="1">
      <alignment horizontal="right"/>
    </xf>
    <xf numFmtId="43" fontId="0" fillId="0" borderId="0" xfId="17" applyFont="1" applyAlignment="1">
      <alignment horizontal="right" vertical="top"/>
    </xf>
    <xf numFmtId="1" fontId="4" fillId="0" borderId="1" xfId="17" applyNumberFormat="1" applyFont="1" applyBorder="1" applyAlignment="1"/>
    <xf numFmtId="1" fontId="10" fillId="0" borderId="1" xfId="0" applyNumberFormat="1" applyFont="1" applyBorder="1" applyAlignment="1"/>
    <xf numFmtId="0" fontId="9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/>
    <xf numFmtId="0" fontId="9" fillId="2" borderId="1" xfId="0" applyFont="1" applyFill="1" applyBorder="1" applyAlignment="1"/>
    <xf numFmtId="0" fontId="4" fillId="0" borderId="5" xfId="0" applyFont="1" applyBorder="1">
      <alignment vertical="top"/>
    </xf>
    <xf numFmtId="0" fontId="0" fillId="0" borderId="6" xfId="0" applyBorder="1">
      <alignment vertical="top"/>
    </xf>
    <xf numFmtId="0" fontId="4" fillId="0" borderId="6" xfId="0" applyFont="1" applyBorder="1">
      <alignment vertical="top"/>
    </xf>
    <xf numFmtId="1" fontId="4" fillId="0" borderId="6" xfId="17" applyNumberFormat="1" applyFont="1" applyBorder="1" applyAlignment="1"/>
    <xf numFmtId="164" fontId="0" fillId="0" borderId="6" xfId="17" applyNumberFormat="1" applyFont="1" applyBorder="1" applyAlignment="1">
      <alignment vertical="top"/>
    </xf>
    <xf numFmtId="43" fontId="4" fillId="0" borderId="6" xfId="17" applyFont="1" applyBorder="1" applyAlignment="1">
      <alignment horizontal="right"/>
    </xf>
    <xf numFmtId="0" fontId="9" fillId="2" borderId="5" xfId="0" applyFont="1" applyFill="1" applyBorder="1">
      <alignment vertical="top"/>
    </xf>
    <xf numFmtId="1" fontId="4" fillId="2" borderId="5" xfId="17" applyNumberFormat="1" applyFont="1" applyFill="1" applyBorder="1" applyAlignment="1"/>
    <xf numFmtId="164" fontId="0" fillId="2" borderId="5" xfId="17" applyNumberFormat="1" applyFont="1" applyFill="1" applyBorder="1" applyAlignment="1">
      <alignment vertical="top"/>
    </xf>
    <xf numFmtId="43" fontId="9" fillId="2" borderId="5" xfId="17" applyFont="1" applyFill="1" applyBorder="1" applyAlignment="1">
      <alignment horizontal="right"/>
    </xf>
    <xf numFmtId="0" fontId="16" fillId="0" borderId="0" xfId="0" applyFont="1">
      <alignment vertical="top"/>
    </xf>
    <xf numFmtId="0" fontId="18" fillId="0" borderId="0" xfId="0" applyFont="1" applyAlignment="1">
      <alignment horizontal="center"/>
    </xf>
    <xf numFmtId="0" fontId="0" fillId="0" borderId="0" xfId="0" applyAlignment="1"/>
    <xf numFmtId="0" fontId="19" fillId="0" borderId="0" xfId="0" applyFont="1" applyAlignment="1">
      <alignment horizontal="left"/>
    </xf>
    <xf numFmtId="165" fontId="17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0" fontId="17" fillId="0" borderId="0" xfId="0" applyFont="1" applyAlignment="1"/>
    <xf numFmtId="49" fontId="0" fillId="0" borderId="0" xfId="0" applyNumberFormat="1" applyAlignment="1"/>
    <xf numFmtId="49" fontId="0" fillId="0" borderId="0" xfId="0" applyNumberFormat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0" xfId="0" applyNumberFormat="1" applyAlignment="1">
      <alignment horizontal="left"/>
    </xf>
    <xf numFmtId="0" fontId="17" fillId="0" borderId="0" xfId="0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20" fillId="0" borderId="0" xfId="0" applyFont="1" applyAlignment="1"/>
    <xf numFmtId="165" fontId="0" fillId="0" borderId="0" xfId="0" applyNumberFormat="1" applyAlignment="1"/>
    <xf numFmtId="165" fontId="0" fillId="0" borderId="6" xfId="0" applyNumberFormat="1" applyBorder="1" applyAlignment="1"/>
    <xf numFmtId="165" fontId="17" fillId="0" borderId="0" xfId="0" applyNumberFormat="1" applyFont="1" applyAlignment="1">
      <alignment horizontal="right"/>
    </xf>
    <xf numFmtId="165" fontId="20" fillId="0" borderId="0" xfId="0" applyNumberFormat="1" applyFont="1" applyAlignment="1">
      <alignment horizontal="left"/>
    </xf>
    <xf numFmtId="0" fontId="21" fillId="0" borderId="0" xfId="0" applyFont="1" applyAlignment="1"/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" fontId="9" fillId="0" borderId="0" xfId="0" applyNumberFormat="1" applyFont="1" applyAlignment="1">
      <alignment horizontal="center" wrapText="1" readingOrder="1"/>
    </xf>
    <xf numFmtId="0" fontId="18" fillId="0" borderId="0" xfId="0" applyFont="1" applyAlignment="1">
      <alignment horizontal="center"/>
    </xf>
  </cellXfs>
  <cellStyles count="18">
    <cellStyle name="Comma" xfId="17" builtinId="3"/>
    <cellStyle name="Comma 2" xfId="5" xr:uid="{00000000-0005-0000-0000-000000000000}"/>
    <cellStyle name="Comma 2 2" xfId="13" xr:uid="{3F68A3D5-C2B1-4131-B3B8-7B1FAF841882}"/>
    <cellStyle name="Currency" xfId="9" builtinId="4"/>
    <cellStyle name="Currency 2" xfId="7" xr:uid="{00000000-0005-0000-0000-000002000000}"/>
    <cellStyle name="Currency 2 2" xfId="15" xr:uid="{4542E281-3841-462D-9DD4-3AE1C092131E}"/>
    <cellStyle name="Currency 3" xfId="16" xr:uid="{24671FB4-545D-417D-B04B-CCFD370BFA4D}"/>
    <cellStyle name="Normal" xfId="0" builtinId="0"/>
    <cellStyle name="Normal 2" xfId="2" xr:uid="{00000000-0005-0000-0000-000004000000}"/>
    <cellStyle name="Normal 2 2" xfId="8" xr:uid="{00000000-0005-0000-0000-000005000000}"/>
    <cellStyle name="Normal 3" xfId="4" xr:uid="{00000000-0005-0000-0000-000006000000}"/>
    <cellStyle name="Normal 3 2" xfId="12" xr:uid="{ADBB2F7A-7D64-4668-B6EC-EB585F9D8112}"/>
    <cellStyle name="Normal 4" xfId="6" xr:uid="{00000000-0005-0000-0000-000007000000}"/>
    <cellStyle name="Normal 4 2" xfId="14" xr:uid="{4CF71CE2-5486-4BB4-A528-6AB9780DEA49}"/>
    <cellStyle name="Normal 5" xfId="10" xr:uid="{98ECF908-E253-4E23-8451-9B6BF439C834}"/>
    <cellStyle name="Percent" xfId="1" builtinId="5"/>
    <cellStyle name="Percent 2" xfId="3" xr:uid="{00000000-0005-0000-0000-000009000000}"/>
    <cellStyle name="Percent 2 2" xfId="11" xr:uid="{509DF559-8DC3-405B-B661-0298F18ECA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4"/>
  <sheetViews>
    <sheetView tabSelected="1" topLeftCell="C1" zoomScaleNormal="100" workbookViewId="0">
      <selection activeCell="I41" sqref="I41"/>
    </sheetView>
  </sheetViews>
  <sheetFormatPr baseColWidth="10" defaultColWidth="9.1640625" defaultRowHeight="16.25" customHeight="1" x14ac:dyDescent="0.15"/>
  <cols>
    <col min="1" max="1" width="9.1640625" style="11" customWidth="1"/>
    <col min="2" max="2" width="9.1640625" style="127"/>
    <col min="3" max="3" width="48.5" style="11" customWidth="1"/>
    <col min="4" max="4" width="17.6640625" style="97" customWidth="1"/>
    <col min="5" max="16384" width="9.1640625" style="11"/>
  </cols>
  <sheetData>
    <row r="1" spans="2:9" ht="16.25" customHeight="1" x14ac:dyDescent="0.15">
      <c r="C1" s="79"/>
    </row>
    <row r="2" spans="2:9" ht="16.25" customHeight="1" x14ac:dyDescent="0.15">
      <c r="B2" s="160" t="s">
        <v>98</v>
      </c>
      <c r="C2" s="161"/>
      <c r="D2" s="162"/>
    </row>
    <row r="3" spans="2:9" ht="16.25" customHeight="1" x14ac:dyDescent="0.15">
      <c r="B3" s="125" t="s">
        <v>88</v>
      </c>
      <c r="C3" s="42" t="s">
        <v>87</v>
      </c>
      <c r="D3" s="98" t="s">
        <v>22</v>
      </c>
    </row>
    <row r="4" spans="2:9" ht="16.25" customHeight="1" x14ac:dyDescent="0.15">
      <c r="B4" s="128"/>
      <c r="C4" s="3" t="s">
        <v>4</v>
      </c>
      <c r="D4" s="99"/>
    </row>
    <row r="5" spans="2:9" ht="16.25" customHeight="1" x14ac:dyDescent="0.15">
      <c r="B5" s="128"/>
      <c r="C5" s="39" t="s">
        <v>69</v>
      </c>
      <c r="D5" s="100"/>
    </row>
    <row r="6" spans="2:9" ht="16.25" customHeight="1" x14ac:dyDescent="0.15">
      <c r="B6" s="4">
        <v>4020</v>
      </c>
      <c r="C6" s="130" t="s">
        <v>94</v>
      </c>
      <c r="D6" s="102">
        <f>Revenue!J5</f>
        <v>27600</v>
      </c>
    </row>
    <row r="7" spans="2:9" ht="16.25" customHeight="1" x14ac:dyDescent="0.15">
      <c r="B7" s="67"/>
      <c r="C7" s="14" t="s">
        <v>56</v>
      </c>
      <c r="D7" s="100">
        <f>Revenue!J6</f>
        <v>25200</v>
      </c>
    </row>
    <row r="8" spans="2:9" ht="16.25" customHeight="1" x14ac:dyDescent="0.15">
      <c r="B8" s="67"/>
      <c r="C8" s="6" t="s">
        <v>57</v>
      </c>
      <c r="D8" s="100">
        <f>Revenue!J7</f>
        <v>2000</v>
      </c>
    </row>
    <row r="9" spans="2:9" ht="16.25" customHeight="1" x14ac:dyDescent="0.15">
      <c r="B9" s="67"/>
      <c r="C9" s="6" t="s">
        <v>58</v>
      </c>
      <c r="D9" s="100">
        <f>Revenue!J8</f>
        <v>400</v>
      </c>
    </row>
    <row r="10" spans="2:9" ht="16.25" customHeight="1" x14ac:dyDescent="0.15">
      <c r="B10" s="67"/>
      <c r="C10" s="6"/>
      <c r="D10" s="100"/>
    </row>
    <row r="11" spans="2:9" ht="16.25" customHeight="1" x14ac:dyDescent="0.15">
      <c r="B11" s="4">
        <v>4021</v>
      </c>
      <c r="C11" s="130" t="s">
        <v>95</v>
      </c>
      <c r="D11" s="102">
        <f>Revenue!J10</f>
        <v>7500</v>
      </c>
    </row>
    <row r="12" spans="2:9" ht="16.25" customHeight="1" x14ac:dyDescent="0.15">
      <c r="B12" s="67"/>
      <c r="C12" s="6" t="s">
        <v>41</v>
      </c>
      <c r="D12" s="100">
        <f>Revenue!J11</f>
        <v>7500</v>
      </c>
    </row>
    <row r="13" spans="2:9" ht="16.25" customHeight="1" x14ac:dyDescent="0.15">
      <c r="B13" s="128"/>
      <c r="C13" s="6"/>
      <c r="D13" s="101"/>
      <c r="I13" s="11" t="s">
        <v>21</v>
      </c>
    </row>
    <row r="14" spans="2:9" ht="16.25" customHeight="1" x14ac:dyDescent="0.15">
      <c r="B14" s="64"/>
      <c r="C14" s="64" t="s">
        <v>3</v>
      </c>
      <c r="D14" s="102">
        <f>SUM(D6+D11)</f>
        <v>35100</v>
      </c>
    </row>
    <row r="15" spans="2:9" ht="16.25" customHeight="1" x14ac:dyDescent="0.15">
      <c r="B15" s="128"/>
      <c r="C15" s="22"/>
      <c r="D15" s="103"/>
    </row>
    <row r="16" spans="2:9" ht="16.25" customHeight="1" x14ac:dyDescent="0.15">
      <c r="B16" s="128">
        <v>4010</v>
      </c>
      <c r="C16" s="7" t="s">
        <v>24</v>
      </c>
      <c r="D16" s="101">
        <f>_xlfn.XLOOKUP(B16,Revenue!B:B,Revenue!J:J,"-")</f>
        <v>2500</v>
      </c>
    </row>
    <row r="17" spans="1:4" ht="16.25" customHeight="1" x14ac:dyDescent="0.15">
      <c r="B17" s="128">
        <v>4040</v>
      </c>
      <c r="C17" s="7" t="s">
        <v>23</v>
      </c>
      <c r="D17" s="101">
        <f>_xlfn.XLOOKUP(B17,Revenue!B:B,Revenue!J:J,"-")</f>
        <v>2500</v>
      </c>
    </row>
    <row r="18" spans="1:4" ht="16.25" customHeight="1" x14ac:dyDescent="0.15">
      <c r="B18" s="128">
        <v>4070</v>
      </c>
      <c r="C18" s="129" t="s">
        <v>92</v>
      </c>
      <c r="D18" s="101">
        <f>_xlfn.XLOOKUP(B18,Revenue!B:B,Revenue!J:J,"-")</f>
        <v>40700</v>
      </c>
    </row>
    <row r="19" spans="1:4" ht="16.25" customHeight="1" x14ac:dyDescent="0.15">
      <c r="A19" s="94"/>
      <c r="B19" s="128">
        <v>4090</v>
      </c>
      <c r="C19" s="7" t="s">
        <v>97</v>
      </c>
      <c r="D19" s="101">
        <f>_xlfn.XLOOKUP(B19,Revenue!B:B,Revenue!J:J,"-")</f>
        <v>2700</v>
      </c>
    </row>
    <row r="20" spans="1:4" ht="16.25" customHeight="1" x14ac:dyDescent="0.15">
      <c r="B20" s="128">
        <v>5009</v>
      </c>
      <c r="C20" s="7" t="s">
        <v>25</v>
      </c>
      <c r="D20" s="101">
        <f>_xlfn.XLOOKUP(B20,Revenue!B:B,Revenue!J:J,"-")</f>
        <v>6000</v>
      </c>
    </row>
    <row r="21" spans="1:4" ht="16.25" customHeight="1" x14ac:dyDescent="0.15">
      <c r="B21" s="126">
        <v>5015</v>
      </c>
      <c r="C21" s="7" t="s">
        <v>93</v>
      </c>
      <c r="D21" s="101">
        <f>_xlfn.XLOOKUP(B21,Revenue!B:B,Revenue!J:J,"-")</f>
        <v>0</v>
      </c>
    </row>
    <row r="22" spans="1:4" ht="16.25" customHeight="1" x14ac:dyDescent="0.15">
      <c r="B22" s="126">
        <v>5020</v>
      </c>
      <c r="C22" s="7" t="s">
        <v>77</v>
      </c>
      <c r="D22" s="101">
        <f>_xlfn.XLOOKUP(B22,Revenue!B:B,Revenue!J:J,"-")</f>
        <v>1500</v>
      </c>
    </row>
    <row r="23" spans="1:4" ht="16.25" customHeight="1" x14ac:dyDescent="0.15">
      <c r="B23" s="128">
        <v>5025</v>
      </c>
      <c r="C23" s="7" t="s">
        <v>65</v>
      </c>
      <c r="D23" s="101">
        <f>_xlfn.XLOOKUP(B23,Revenue!B:B,Revenue!J:J,"-")</f>
        <v>2700</v>
      </c>
    </row>
    <row r="24" spans="1:4" ht="16.25" customHeight="1" x14ac:dyDescent="0.15">
      <c r="B24" s="128">
        <v>5030</v>
      </c>
      <c r="C24" s="7" t="s">
        <v>81</v>
      </c>
      <c r="D24" s="101">
        <f>_xlfn.XLOOKUP(B24,Revenue!B:B,Revenue!J:J,"-")</f>
        <v>1000</v>
      </c>
    </row>
    <row r="25" spans="1:4" ht="16.25" customHeight="1" x14ac:dyDescent="0.15">
      <c r="B25" s="128"/>
      <c r="C25" s="7"/>
      <c r="D25" s="104"/>
    </row>
    <row r="26" spans="1:4" ht="16.25" customHeight="1" x14ac:dyDescent="0.15">
      <c r="B26" s="64"/>
      <c r="C26" s="64" t="s">
        <v>3</v>
      </c>
      <c r="D26" s="105">
        <f>SUM(D16:D24)</f>
        <v>59600</v>
      </c>
    </row>
    <row r="27" spans="1:4" ht="16.25" customHeight="1" x14ac:dyDescent="0.15">
      <c r="B27" s="128"/>
      <c r="C27" s="22"/>
      <c r="D27" s="106"/>
    </row>
    <row r="28" spans="1:4" ht="16.25" customHeight="1" x14ac:dyDescent="0.15">
      <c r="B28" s="64"/>
      <c r="C28" s="64" t="s">
        <v>20</v>
      </c>
      <c r="D28" s="105">
        <f>D14+D26</f>
        <v>94700</v>
      </c>
    </row>
    <row r="29" spans="1:4" ht="16.25" customHeight="1" x14ac:dyDescent="0.15">
      <c r="B29" s="128"/>
      <c r="C29" s="39" t="s">
        <v>70</v>
      </c>
      <c r="D29" s="101"/>
    </row>
    <row r="30" spans="1:4" ht="16.25" customHeight="1" x14ac:dyDescent="0.15">
      <c r="B30" s="128">
        <v>6030</v>
      </c>
      <c r="C30" s="14" t="s">
        <v>75</v>
      </c>
      <c r="D30" s="101">
        <f>_xlfn.XLOOKUP(B30,Expenses!B:B,Expenses!J:J,"-")</f>
        <v>500</v>
      </c>
    </row>
    <row r="31" spans="1:4" ht="16.25" customHeight="1" x14ac:dyDescent="0.15">
      <c r="B31" s="128">
        <v>6035</v>
      </c>
      <c r="C31" s="7" t="s">
        <v>34</v>
      </c>
      <c r="D31" s="101">
        <f>_xlfn.XLOOKUP(B31,Expenses!B:B,Expenses!J:J,"-")</f>
        <v>3000</v>
      </c>
    </row>
    <row r="32" spans="1:4" ht="16.25" customHeight="1" x14ac:dyDescent="0.15">
      <c r="B32" s="128">
        <v>6040</v>
      </c>
      <c r="C32" s="7" t="s">
        <v>27</v>
      </c>
      <c r="D32" s="101">
        <f>_xlfn.XLOOKUP(B32,Expenses!B:B,Expenses!J:J,"-")</f>
        <v>3850</v>
      </c>
    </row>
    <row r="33" spans="2:8" ht="16.25" customHeight="1" x14ac:dyDescent="0.15">
      <c r="B33" s="128">
        <v>6050</v>
      </c>
      <c r="C33" s="7" t="s">
        <v>26</v>
      </c>
      <c r="D33" s="101">
        <f>_xlfn.XLOOKUP(B33,Expenses!B:B,Expenses!J:J,"-")</f>
        <v>6314</v>
      </c>
      <c r="H33" s="95"/>
    </row>
    <row r="34" spans="2:8" ht="16.25" customHeight="1" x14ac:dyDescent="0.15">
      <c r="B34" s="128">
        <v>6055</v>
      </c>
      <c r="C34" s="7" t="s">
        <v>28</v>
      </c>
      <c r="D34" s="101">
        <f>_xlfn.XLOOKUP(B34,Expenses!B:B,Expenses!J:J,"-")</f>
        <v>7700</v>
      </c>
    </row>
    <row r="35" spans="2:8" ht="16.25" customHeight="1" x14ac:dyDescent="0.15">
      <c r="B35" s="128">
        <v>6065</v>
      </c>
      <c r="C35" s="7" t="s">
        <v>91</v>
      </c>
      <c r="D35" s="101">
        <f>_xlfn.XLOOKUP(B35,Expenses!B:B,Expenses!J:J,"-")</f>
        <v>1000</v>
      </c>
    </row>
    <row r="36" spans="2:8" ht="16.25" customHeight="1" x14ac:dyDescent="0.15">
      <c r="B36" s="128">
        <v>6070</v>
      </c>
      <c r="C36" s="7" t="s">
        <v>29</v>
      </c>
      <c r="D36" s="101">
        <f>_xlfn.XLOOKUP(B36,Expenses!B:B,Expenses!J:J,"-")</f>
        <v>30800</v>
      </c>
    </row>
    <row r="37" spans="2:8" ht="16.25" customHeight="1" x14ac:dyDescent="0.15">
      <c r="B37" s="128">
        <v>6085</v>
      </c>
      <c r="C37" s="14" t="s">
        <v>24</v>
      </c>
      <c r="D37" s="101">
        <f>_xlfn.XLOOKUP(B37,Expenses!B:B,Expenses!J:J,"-")</f>
        <v>1250</v>
      </c>
    </row>
    <row r="38" spans="2:8" ht="16.25" customHeight="1" x14ac:dyDescent="0.15">
      <c r="B38" s="128">
        <v>6100</v>
      </c>
      <c r="C38" s="7" t="s">
        <v>96</v>
      </c>
      <c r="D38" s="101">
        <f>_xlfn.XLOOKUP(B38,Expenses!B:B,Expenses!J:J,"-")</f>
        <v>5101</v>
      </c>
    </row>
    <row r="39" spans="2:8" ht="16.25" customHeight="1" x14ac:dyDescent="0.15">
      <c r="B39" s="128">
        <v>6110</v>
      </c>
      <c r="C39" s="7" t="s">
        <v>31</v>
      </c>
      <c r="D39" s="101">
        <f>_xlfn.XLOOKUP(B39,Expenses!B:B,Expenses!J:J,"-")</f>
        <v>350</v>
      </c>
    </row>
    <row r="40" spans="2:8" ht="16.25" customHeight="1" x14ac:dyDescent="0.15">
      <c r="B40" s="13">
        <v>6130</v>
      </c>
      <c r="C40" s="7" t="s">
        <v>138</v>
      </c>
      <c r="D40" s="101">
        <f>_xlfn.XLOOKUP(B40,Expenses!B:B,Expenses!J:J,"-")</f>
        <v>6500</v>
      </c>
    </row>
    <row r="41" spans="2:8" ht="16.25" customHeight="1" x14ac:dyDescent="0.15">
      <c r="B41" s="128">
        <v>6135</v>
      </c>
      <c r="C41" s="7" t="s">
        <v>30</v>
      </c>
      <c r="D41" s="101">
        <f>_xlfn.XLOOKUP(B41,Expenses!B:B,Expenses!J:J,"-")</f>
        <v>4984</v>
      </c>
    </row>
    <row r="42" spans="2:8" ht="16.25" customHeight="1" x14ac:dyDescent="0.15">
      <c r="B42" s="128">
        <v>6140</v>
      </c>
      <c r="C42" s="7" t="s">
        <v>49</v>
      </c>
      <c r="D42" s="101">
        <f>_xlfn.XLOOKUP(B42,Expenses!B:B,Expenses!J:J,"-")</f>
        <v>250</v>
      </c>
    </row>
    <row r="43" spans="2:8" ht="16.25" customHeight="1" x14ac:dyDescent="0.15">
      <c r="B43" s="128">
        <v>6145</v>
      </c>
      <c r="C43" s="7" t="s">
        <v>35</v>
      </c>
      <c r="D43" s="101">
        <f>_xlfn.XLOOKUP(B43,Expenses!B:B,Expenses!J:J,"-")</f>
        <v>2244</v>
      </c>
    </row>
    <row r="44" spans="2:8" ht="16.25" customHeight="1" x14ac:dyDescent="0.15">
      <c r="B44" s="128">
        <v>6150</v>
      </c>
      <c r="C44" s="7" t="s">
        <v>32</v>
      </c>
      <c r="D44" s="101">
        <f>_xlfn.XLOOKUP(B44,Expenses!B:B,Expenses!J:J,"-")</f>
        <v>2000</v>
      </c>
    </row>
    <row r="45" spans="2:8" ht="16.25" customHeight="1" x14ac:dyDescent="0.15">
      <c r="B45" s="128">
        <v>7010</v>
      </c>
      <c r="C45" s="14" t="s">
        <v>25</v>
      </c>
      <c r="D45" s="101">
        <f>_xlfn.XLOOKUP(B45,Expenses!B:B,Expenses!J:J,"-")</f>
        <v>9000</v>
      </c>
    </row>
    <row r="46" spans="2:8" ht="16.25" customHeight="1" x14ac:dyDescent="0.15">
      <c r="B46" s="13">
        <v>7020</v>
      </c>
      <c r="C46" s="7" t="s">
        <v>82</v>
      </c>
      <c r="D46" s="101">
        <f>_xlfn.XLOOKUP(B46,Expenses!B:B,Expenses!J:J,"-")</f>
        <v>1000</v>
      </c>
    </row>
    <row r="47" spans="2:8" ht="16.25" customHeight="1" x14ac:dyDescent="0.15">
      <c r="B47" s="13">
        <v>7030</v>
      </c>
      <c r="C47" s="7" t="s">
        <v>81</v>
      </c>
      <c r="D47" s="101">
        <f>_xlfn.XLOOKUP(B47,Expenses!B:B,Expenses!J:J,"-")</f>
        <v>1000</v>
      </c>
    </row>
    <row r="48" spans="2:8" ht="16.25" customHeight="1" x14ac:dyDescent="0.15">
      <c r="B48" s="128">
        <v>7040</v>
      </c>
      <c r="C48" s="7" t="s">
        <v>38</v>
      </c>
      <c r="D48" s="101">
        <f>_xlfn.XLOOKUP(B48,Expenses!B:B,Expenses!J:J,"-")</f>
        <v>3000</v>
      </c>
    </row>
    <row r="49" spans="2:4" ht="16.25" customHeight="1" x14ac:dyDescent="0.15">
      <c r="B49" s="128">
        <v>7041</v>
      </c>
      <c r="C49" s="7" t="s">
        <v>37</v>
      </c>
      <c r="D49" s="101">
        <f>_xlfn.XLOOKUP(B49,Expenses!B:B,Expenses!J:J,"-")</f>
        <v>3000</v>
      </c>
    </row>
    <row r="50" spans="2:4" ht="16.25" customHeight="1" x14ac:dyDescent="0.15">
      <c r="B50" s="128">
        <v>7050</v>
      </c>
      <c r="C50" s="7" t="s">
        <v>85</v>
      </c>
      <c r="D50" s="101">
        <f>_xlfn.XLOOKUP(B50,Expenses!B:B,Expenses!J:J,"-")</f>
        <v>1600</v>
      </c>
    </row>
    <row r="51" spans="2:4" ht="16.25" customHeight="1" x14ac:dyDescent="0.15">
      <c r="B51" s="128"/>
      <c r="C51" s="7"/>
      <c r="D51" s="101"/>
    </row>
    <row r="52" spans="2:4" ht="16.25" customHeight="1" x14ac:dyDescent="0.15">
      <c r="B52" s="64"/>
      <c r="C52" s="64" t="s">
        <v>71</v>
      </c>
      <c r="D52" s="105">
        <f>SUM(D30:D50)</f>
        <v>94443</v>
      </c>
    </row>
    <row r="53" spans="2:4" ht="16.25" customHeight="1" x14ac:dyDescent="0.15">
      <c r="B53" s="128"/>
      <c r="C53" s="22"/>
      <c r="D53" s="106"/>
    </row>
    <row r="54" spans="2:4" ht="16.25" customHeight="1" x14ac:dyDescent="0.15">
      <c r="B54" s="51"/>
      <c r="C54" s="51" t="s">
        <v>8</v>
      </c>
      <c r="D54" s="107">
        <f>D28-D52</f>
        <v>257</v>
      </c>
    </row>
  </sheetData>
  <sortState xmlns:xlrd2="http://schemas.microsoft.com/office/spreadsheetml/2017/richdata2" ref="B16:D24">
    <sortCondition ref="B16:B24"/>
  </sortState>
  <mergeCells count="1">
    <mergeCell ref="B2:D2"/>
  </mergeCells>
  <pageMargins left="0.7" right="0.7" top="0.75" bottom="0.75" header="0.3" footer="0.3"/>
  <pageSetup scale="82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autoPageBreaks="0" fitToPage="1"/>
  </sheetPr>
  <dimension ref="B1:N29"/>
  <sheetViews>
    <sheetView topLeftCell="A2" zoomScale="150" zoomScaleNormal="150" workbookViewId="0">
      <selection activeCell="I25" sqref="I25"/>
    </sheetView>
  </sheetViews>
  <sheetFormatPr baseColWidth="10" defaultColWidth="6.6640625" defaultRowHeight="16.25" customHeight="1" x14ac:dyDescent="0.15"/>
  <cols>
    <col min="1" max="1" width="6.6640625" style="11"/>
    <col min="2" max="2" width="11.33203125" style="66" customWidth="1"/>
    <col min="3" max="3" width="30.6640625" style="11" customWidth="1"/>
    <col min="4" max="7" width="12.5" style="19" hidden="1" customWidth="1"/>
    <col min="8" max="11" width="13.5" style="1" customWidth="1"/>
    <col min="12" max="12" width="13.5" style="59" customWidth="1"/>
    <col min="13" max="13" width="10.5" style="1" customWidth="1"/>
    <col min="14" max="14" width="12.5" style="11" bestFit="1" customWidth="1"/>
    <col min="15" max="15" width="7.5" style="11" bestFit="1" customWidth="1"/>
    <col min="16" max="16" width="8.5" style="11" customWidth="1"/>
    <col min="17" max="17" width="12.5" style="11" customWidth="1"/>
    <col min="18" max="16384" width="6.6640625" style="11"/>
  </cols>
  <sheetData>
    <row r="1" spans="2:14" ht="16.25" customHeight="1" x14ac:dyDescent="0.15">
      <c r="B1" s="65"/>
      <c r="C1" s="1"/>
      <c r="D1" s="1"/>
      <c r="E1" s="1"/>
      <c r="F1" s="1"/>
      <c r="G1" s="1"/>
      <c r="M1" s="2"/>
    </row>
    <row r="2" spans="2:14" ht="16.25" customHeight="1" x14ac:dyDescent="0.15">
      <c r="M2" s="2"/>
    </row>
    <row r="3" spans="2:14" ht="16.25" customHeight="1" x14ac:dyDescent="0.15">
      <c r="B3" s="163" t="s">
        <v>16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2"/>
    </row>
    <row r="4" spans="2:14" ht="42" customHeight="1" x14ac:dyDescent="0.15">
      <c r="B4" s="5" t="s">
        <v>15</v>
      </c>
      <c r="C4" s="3" t="s">
        <v>4</v>
      </c>
      <c r="D4" s="53" t="s">
        <v>6</v>
      </c>
      <c r="E4" s="53" t="s">
        <v>7</v>
      </c>
      <c r="F4" s="53" t="s">
        <v>9</v>
      </c>
      <c r="G4" s="54" t="s">
        <v>11</v>
      </c>
      <c r="H4" s="55" t="s">
        <v>136</v>
      </c>
      <c r="I4" s="55" t="s">
        <v>76</v>
      </c>
      <c r="J4" s="56" t="s">
        <v>137</v>
      </c>
      <c r="K4" s="55" t="s">
        <v>1</v>
      </c>
      <c r="L4" s="60" t="s">
        <v>2</v>
      </c>
      <c r="M4" s="11"/>
    </row>
    <row r="5" spans="2:14" ht="16.25" customHeight="1" x14ac:dyDescent="0.15">
      <c r="B5" s="5">
        <v>4020</v>
      </c>
      <c r="C5" s="38" t="s">
        <v>94</v>
      </c>
      <c r="D5" s="46"/>
      <c r="E5" s="46"/>
      <c r="F5" s="46"/>
      <c r="G5" s="46"/>
      <c r="H5" s="46">
        <v>30400</v>
      </c>
      <c r="I5" s="46">
        <v>23181</v>
      </c>
      <c r="J5" s="45">
        <f>SUM(J6:J8)</f>
        <v>27600</v>
      </c>
      <c r="K5" s="52"/>
      <c r="L5" s="61"/>
      <c r="M5" s="11"/>
    </row>
    <row r="6" spans="2:14" ht="16.25" customHeight="1" x14ac:dyDescent="0.15">
      <c r="B6" s="67"/>
      <c r="C6" s="14" t="s">
        <v>56</v>
      </c>
      <c r="D6" s="89"/>
      <c r="E6" s="52"/>
      <c r="F6" s="52"/>
      <c r="G6" s="52"/>
      <c r="H6" s="52">
        <v>25200</v>
      </c>
      <c r="I6" s="52"/>
      <c r="J6" s="43">
        <f>Details!E3</f>
        <v>25200</v>
      </c>
      <c r="K6" s="52">
        <f t="shared" ref="K6:K11" si="0">J6-H6</f>
        <v>0</v>
      </c>
      <c r="L6" s="17">
        <f t="shared" ref="L6:L11" si="1">IFERROR(K6/H6,"-")</f>
        <v>0</v>
      </c>
      <c r="M6" s="11"/>
    </row>
    <row r="7" spans="2:14" ht="16.25" customHeight="1" x14ac:dyDescent="0.15">
      <c r="B7" s="67"/>
      <c r="C7" s="6" t="s">
        <v>57</v>
      </c>
      <c r="D7" s="89"/>
      <c r="E7" s="52"/>
      <c r="F7" s="52"/>
      <c r="G7" s="52"/>
      <c r="H7" s="52">
        <v>4000</v>
      </c>
      <c r="I7" s="52"/>
      <c r="J7" s="43">
        <f>Details!E4</f>
        <v>2000</v>
      </c>
      <c r="K7" s="52">
        <f t="shared" si="0"/>
        <v>-2000</v>
      </c>
      <c r="L7" s="17">
        <f t="shared" si="1"/>
        <v>-0.5</v>
      </c>
      <c r="M7" s="11"/>
    </row>
    <row r="8" spans="2:14" ht="16.25" customHeight="1" x14ac:dyDescent="0.15">
      <c r="B8" s="67"/>
      <c r="C8" s="6" t="s">
        <v>58</v>
      </c>
      <c r="D8" s="44">
        <v>313075.69</v>
      </c>
      <c r="E8" s="41">
        <v>253763</v>
      </c>
      <c r="F8" s="41">
        <v>309755</v>
      </c>
      <c r="G8" s="41">
        <v>388419.79</v>
      </c>
      <c r="H8" s="52">
        <v>1200</v>
      </c>
      <c r="I8" s="52"/>
      <c r="J8" s="43">
        <f>Details!E5</f>
        <v>400</v>
      </c>
      <c r="K8" s="52">
        <f>J8-H8</f>
        <v>-800</v>
      </c>
      <c r="L8" s="17">
        <f t="shared" si="1"/>
        <v>-0.66666666666666663</v>
      </c>
      <c r="M8" s="11"/>
      <c r="N8" s="86"/>
    </row>
    <row r="9" spans="2:14" ht="16.25" customHeight="1" x14ac:dyDescent="0.15">
      <c r="B9" s="67"/>
      <c r="C9" s="6"/>
      <c r="D9" s="44"/>
      <c r="E9" s="41"/>
      <c r="F9" s="41"/>
      <c r="G9" s="41"/>
      <c r="H9" s="52"/>
      <c r="I9" s="52"/>
      <c r="J9" s="43"/>
      <c r="K9" s="52"/>
      <c r="L9" s="17"/>
      <c r="M9" s="11"/>
      <c r="N9" s="86"/>
    </row>
    <row r="10" spans="2:14" ht="16.25" customHeight="1" x14ac:dyDescent="0.15">
      <c r="B10" s="5">
        <v>4021</v>
      </c>
      <c r="C10" s="38" t="s">
        <v>95</v>
      </c>
      <c r="D10" s="44"/>
      <c r="E10" s="41"/>
      <c r="F10" s="41"/>
      <c r="G10" s="41"/>
      <c r="H10" s="52"/>
      <c r="I10" s="52"/>
      <c r="J10" s="45">
        <f>J11</f>
        <v>7500</v>
      </c>
      <c r="K10" s="52"/>
      <c r="L10" s="17"/>
      <c r="M10" s="11"/>
      <c r="N10" s="86"/>
    </row>
    <row r="11" spans="2:14" ht="16.25" customHeight="1" x14ac:dyDescent="0.15">
      <c r="B11" s="67"/>
      <c r="C11" s="6" t="s">
        <v>41</v>
      </c>
      <c r="D11" s="44"/>
      <c r="E11" s="41"/>
      <c r="F11" s="41"/>
      <c r="G11" s="41"/>
      <c r="H11" s="52">
        <v>7900</v>
      </c>
      <c r="I11" s="52"/>
      <c r="J11" s="43">
        <f>Details!E6</f>
        <v>7500</v>
      </c>
      <c r="K11" s="52">
        <f t="shared" si="0"/>
        <v>-400</v>
      </c>
      <c r="L11" s="17">
        <f t="shared" si="1"/>
        <v>-5.0632911392405063E-2</v>
      </c>
      <c r="M11" s="11"/>
      <c r="N11" s="86"/>
    </row>
    <row r="12" spans="2:14" ht="16.25" customHeight="1" x14ac:dyDescent="0.15">
      <c r="B12" s="67"/>
      <c r="C12" s="6"/>
      <c r="D12" s="44"/>
      <c r="E12" s="41"/>
      <c r="F12" s="41"/>
      <c r="G12" s="41"/>
      <c r="H12" s="52"/>
      <c r="I12" s="52"/>
      <c r="J12" s="52"/>
      <c r="K12" s="52"/>
      <c r="L12" s="61"/>
      <c r="M12" s="11"/>
      <c r="N12" s="86"/>
    </row>
    <row r="13" spans="2:14" ht="16.25" customHeight="1" x14ac:dyDescent="0.15">
      <c r="B13" s="4" t="s">
        <v>64</v>
      </c>
      <c r="C13" s="64" t="s">
        <v>3</v>
      </c>
      <c r="D13" s="45">
        <f t="shared" ref="D13:F13" si="2">SUM(D8)</f>
        <v>313075.69</v>
      </c>
      <c r="E13" s="45">
        <f t="shared" si="2"/>
        <v>253763</v>
      </c>
      <c r="F13" s="45">
        <f t="shared" si="2"/>
        <v>309755</v>
      </c>
      <c r="G13" s="45">
        <f>SUM(G8)</f>
        <v>388419.79</v>
      </c>
      <c r="H13" s="45">
        <f>SUM(H6:H11)</f>
        <v>38300</v>
      </c>
      <c r="I13" s="45">
        <f>SUM(I5:I11)</f>
        <v>23181</v>
      </c>
      <c r="J13" s="45">
        <f>SUM(J5+J10)</f>
        <v>35100</v>
      </c>
      <c r="K13" s="45">
        <f>SUM(K6:K11)</f>
        <v>-3200</v>
      </c>
      <c r="L13" s="72">
        <f t="shared" ref="L13" si="3">IFERROR(K13/H13,"-")</f>
        <v>-8.3550913838120106E-2</v>
      </c>
      <c r="M13" s="11"/>
      <c r="N13" s="86"/>
    </row>
    <row r="14" spans="2:14" ht="16.25" customHeight="1" x14ac:dyDescent="0.15">
      <c r="B14" s="67"/>
      <c r="C14" s="22"/>
      <c r="D14" s="46"/>
      <c r="E14" s="46"/>
      <c r="F14" s="46"/>
      <c r="G14" s="46"/>
      <c r="H14" s="46"/>
      <c r="I14" s="46"/>
      <c r="J14" s="46"/>
      <c r="K14" s="52"/>
      <c r="L14" s="63"/>
      <c r="M14" s="11"/>
    </row>
    <row r="15" spans="2:14" ht="16.25" customHeight="1" x14ac:dyDescent="0.15">
      <c r="B15" s="67">
        <v>4010</v>
      </c>
      <c r="C15" s="7" t="s">
        <v>24</v>
      </c>
      <c r="D15" s="57">
        <v>96078</v>
      </c>
      <c r="E15" s="41">
        <v>99881</v>
      </c>
      <c r="F15" s="41">
        <f>80322+400+22209+552</f>
        <v>103483</v>
      </c>
      <c r="G15" s="47">
        <f>341935.38-192581.81</f>
        <v>149353.57</v>
      </c>
      <c r="H15" s="41">
        <v>2500</v>
      </c>
      <c r="I15" s="41">
        <v>397</v>
      </c>
      <c r="J15" s="48">
        <v>2500</v>
      </c>
      <c r="K15" s="52">
        <f t="shared" ref="K15:K23" si="4">J15-H15</f>
        <v>0</v>
      </c>
      <c r="L15" s="17">
        <f t="shared" ref="L15:L23" si="5">IFERROR(K15/H15,"-")</f>
        <v>0</v>
      </c>
      <c r="M15" s="11"/>
    </row>
    <row r="16" spans="2:14" ht="16.25" customHeight="1" x14ac:dyDescent="0.15">
      <c r="B16" s="67">
        <v>4040</v>
      </c>
      <c r="C16" s="7" t="s">
        <v>23</v>
      </c>
      <c r="D16" s="57">
        <v>5907</v>
      </c>
      <c r="E16" s="41">
        <v>7731</v>
      </c>
      <c r="F16" s="41">
        <v>8447</v>
      </c>
      <c r="G16" s="47">
        <f>3000+7446.34</f>
        <v>10446.34</v>
      </c>
      <c r="H16" s="41">
        <v>2500</v>
      </c>
      <c r="I16" s="41">
        <v>1023</v>
      </c>
      <c r="J16" s="48">
        <v>2500</v>
      </c>
      <c r="K16" s="52">
        <f t="shared" si="4"/>
        <v>0</v>
      </c>
      <c r="L16" s="17">
        <f t="shared" si="5"/>
        <v>0</v>
      </c>
      <c r="M16" s="11"/>
    </row>
    <row r="17" spans="2:13" ht="16.25" customHeight="1" x14ac:dyDescent="0.15">
      <c r="B17" s="67">
        <v>4070</v>
      </c>
      <c r="C17" s="7" t="s">
        <v>92</v>
      </c>
      <c r="D17" s="57">
        <v>301.3</v>
      </c>
      <c r="E17" s="41">
        <v>42903</v>
      </c>
      <c r="F17" s="41">
        <v>0</v>
      </c>
      <c r="G17" s="47">
        <f>500+900.5</f>
        <v>1400.5</v>
      </c>
      <c r="H17" s="41">
        <v>40700</v>
      </c>
      <c r="I17" s="41">
        <f>5916+6500+535+2260</f>
        <v>15211</v>
      </c>
      <c r="J17" s="48">
        <f>Details!E7+Details!E8</f>
        <v>40700</v>
      </c>
      <c r="K17" s="52">
        <f t="shared" si="4"/>
        <v>0</v>
      </c>
      <c r="L17" s="17">
        <f t="shared" si="5"/>
        <v>0</v>
      </c>
      <c r="M17" s="11"/>
    </row>
    <row r="18" spans="2:13" ht="16.25" customHeight="1" x14ac:dyDescent="0.15">
      <c r="B18" s="67">
        <v>4090</v>
      </c>
      <c r="C18" s="7" t="s">
        <v>97</v>
      </c>
      <c r="D18" s="57">
        <v>51163.47</v>
      </c>
      <c r="E18" s="41">
        <v>57806</v>
      </c>
      <c r="F18" s="41">
        <v>46587</v>
      </c>
      <c r="G18" s="47">
        <v>75723.53</v>
      </c>
      <c r="H18" s="41">
        <v>2700</v>
      </c>
      <c r="I18" s="41">
        <f>55+305</f>
        <v>360</v>
      </c>
      <c r="J18" s="48">
        <v>2700</v>
      </c>
      <c r="K18" s="52">
        <f t="shared" si="4"/>
        <v>0</v>
      </c>
      <c r="L18" s="17">
        <f t="shared" si="5"/>
        <v>0</v>
      </c>
      <c r="M18" s="11"/>
    </row>
    <row r="19" spans="2:13" ht="16.25" customHeight="1" x14ac:dyDescent="0.15">
      <c r="B19" s="67">
        <v>5009</v>
      </c>
      <c r="C19" s="7" t="s">
        <v>25</v>
      </c>
      <c r="D19" s="57">
        <f>321015-2208-102951.09</f>
        <v>215855.91</v>
      </c>
      <c r="E19" s="41">
        <f>291433-50000</f>
        <v>241433</v>
      </c>
      <c r="F19" s="41">
        <f>208604+10620</f>
        <v>219224</v>
      </c>
      <c r="G19" s="47">
        <v>182135.47</v>
      </c>
      <c r="H19" s="41">
        <v>4600</v>
      </c>
      <c r="I19" s="41"/>
      <c r="J19" s="48">
        <v>6000</v>
      </c>
      <c r="K19" s="52">
        <f t="shared" si="4"/>
        <v>1400</v>
      </c>
      <c r="L19" s="17">
        <f t="shared" si="5"/>
        <v>0.30434782608695654</v>
      </c>
      <c r="M19" s="11"/>
    </row>
    <row r="20" spans="2:13" ht="16.25" customHeight="1" x14ac:dyDescent="0.15">
      <c r="B20" s="67">
        <v>5015</v>
      </c>
      <c r="C20" s="7" t="s">
        <v>93</v>
      </c>
      <c r="D20" s="57"/>
      <c r="E20" s="41"/>
      <c r="F20" s="41"/>
      <c r="G20" s="47"/>
      <c r="H20" s="41">
        <v>10000</v>
      </c>
      <c r="I20" s="41"/>
      <c r="J20" s="48"/>
      <c r="K20" s="52">
        <f t="shared" si="4"/>
        <v>-10000</v>
      </c>
      <c r="L20" s="17">
        <f t="shared" si="5"/>
        <v>-1</v>
      </c>
      <c r="M20" s="11"/>
    </row>
    <row r="21" spans="2:13" ht="16.25" customHeight="1" x14ac:dyDescent="0.15">
      <c r="B21" s="67">
        <v>5020</v>
      </c>
      <c r="C21" s="7" t="s">
        <v>77</v>
      </c>
      <c r="D21" s="57"/>
      <c r="E21" s="41"/>
      <c r="F21" s="41"/>
      <c r="G21" s="47"/>
      <c r="H21" s="41">
        <v>1500</v>
      </c>
      <c r="I21" s="41">
        <v>250</v>
      </c>
      <c r="J21" s="48">
        <v>1500</v>
      </c>
      <c r="K21" s="52">
        <f t="shared" si="4"/>
        <v>0</v>
      </c>
      <c r="L21" s="17">
        <f t="shared" si="5"/>
        <v>0</v>
      </c>
      <c r="M21" s="11"/>
    </row>
    <row r="22" spans="2:13" ht="16.25" customHeight="1" x14ac:dyDescent="0.15">
      <c r="B22" s="67">
        <v>5025</v>
      </c>
      <c r="C22" s="7" t="s">
        <v>65</v>
      </c>
      <c r="D22" s="57">
        <v>1601.84</v>
      </c>
      <c r="E22" s="41">
        <v>3353.96</v>
      </c>
      <c r="F22" s="41">
        <v>1281</v>
      </c>
      <c r="G22" s="47">
        <v>393.12</v>
      </c>
      <c r="H22" s="41">
        <v>2700</v>
      </c>
      <c r="I22" s="41"/>
      <c r="J22" s="48">
        <v>2700</v>
      </c>
      <c r="K22" s="52">
        <f t="shared" si="4"/>
        <v>0</v>
      </c>
      <c r="L22" s="17">
        <f t="shared" si="5"/>
        <v>0</v>
      </c>
      <c r="M22" s="11"/>
    </row>
    <row r="23" spans="2:13" ht="16.25" customHeight="1" x14ac:dyDescent="0.15">
      <c r="B23" s="67">
        <v>5030</v>
      </c>
      <c r="C23" s="7" t="s">
        <v>78</v>
      </c>
      <c r="D23" s="57"/>
      <c r="E23" s="41"/>
      <c r="F23" s="41"/>
      <c r="G23" s="47"/>
      <c r="H23" s="41">
        <v>1000</v>
      </c>
      <c r="I23" s="41">
        <v>1000</v>
      </c>
      <c r="J23" s="41">
        <v>1000</v>
      </c>
      <c r="K23" s="52">
        <f t="shared" si="4"/>
        <v>0</v>
      </c>
      <c r="L23" s="61">
        <f t="shared" si="5"/>
        <v>0</v>
      </c>
      <c r="M23" s="11"/>
    </row>
    <row r="24" spans="2:13" ht="16.25" customHeight="1" x14ac:dyDescent="0.15">
      <c r="B24" s="4"/>
      <c r="C24" s="64" t="s">
        <v>3</v>
      </c>
      <c r="D24" s="50">
        <f>SUM(D15:D20)</f>
        <v>369305.68000000005</v>
      </c>
      <c r="E24" s="50">
        <f>SUM(E15:E20)</f>
        <v>449754</v>
      </c>
      <c r="F24" s="50">
        <f>SUM(F15:F20)</f>
        <v>377741</v>
      </c>
      <c r="G24" s="50">
        <f>SUM(G15:G20)</f>
        <v>419059.41000000003</v>
      </c>
      <c r="H24" s="50">
        <f>SUM(H15:H23)</f>
        <v>68200</v>
      </c>
      <c r="I24" s="50"/>
      <c r="J24" s="50">
        <f>SUM(J15:J23)</f>
        <v>59600</v>
      </c>
      <c r="K24" s="50">
        <f>SUM(K15:K20)</f>
        <v>-8600</v>
      </c>
      <c r="L24" s="72">
        <f t="shared" ref="L24" si="6">IFERROR(K24/H24,"-")</f>
        <v>-0.12609970674486803</v>
      </c>
      <c r="M24" s="11"/>
    </row>
    <row r="25" spans="2:13" ht="16.25" customHeight="1" x14ac:dyDescent="0.15">
      <c r="B25" s="5"/>
      <c r="C25" s="22"/>
      <c r="D25" s="49"/>
      <c r="E25" s="49"/>
      <c r="F25" s="49"/>
      <c r="G25" s="49"/>
      <c r="H25" s="49"/>
      <c r="I25" s="49"/>
      <c r="J25" s="49"/>
      <c r="K25" s="52"/>
      <c r="L25" s="63"/>
      <c r="M25" s="11"/>
    </row>
    <row r="26" spans="2:13" ht="16.25" customHeight="1" x14ac:dyDescent="0.15">
      <c r="B26" s="73"/>
      <c r="C26" s="64" t="s">
        <v>20</v>
      </c>
      <c r="D26" s="50" t="e">
        <f>D13+#REF!+D24+#REF!</f>
        <v>#REF!</v>
      </c>
      <c r="E26" s="50" t="e">
        <f>E13+#REF!+E24+#REF!</f>
        <v>#REF!</v>
      </c>
      <c r="F26" s="50" t="e">
        <f>F13+#REF!+F24+#REF!</f>
        <v>#REF!</v>
      </c>
      <c r="G26" s="50" t="e">
        <f>G13+#REF!+G24+#REF!</f>
        <v>#REF!</v>
      </c>
      <c r="H26" s="50">
        <f>H13+H24</f>
        <v>106500</v>
      </c>
      <c r="I26" s="50"/>
      <c r="J26" s="50">
        <f>J13+J24</f>
        <v>94700</v>
      </c>
      <c r="K26" s="50">
        <f>K13+K24</f>
        <v>-11800</v>
      </c>
      <c r="L26" s="72">
        <f>IFERROR(K26/H26,"-")</f>
        <v>-0.1107981220657277</v>
      </c>
      <c r="M26" s="11"/>
    </row>
    <row r="27" spans="2:13" ht="16.25" customHeight="1" x14ac:dyDescent="0.15">
      <c r="B27" s="65"/>
      <c r="C27" s="1"/>
      <c r="D27" s="1"/>
      <c r="E27" s="1"/>
      <c r="F27" s="1"/>
      <c r="G27" s="1"/>
      <c r="K27" s="52"/>
      <c r="M27" s="8"/>
    </row>
    <row r="28" spans="2:13" ht="16.25" customHeight="1" x14ac:dyDescent="0.15">
      <c r="B28" s="73"/>
      <c r="C28" s="64" t="s">
        <v>18</v>
      </c>
      <c r="D28" s="50" t="e">
        <f>Expenses!D29</f>
        <v>#REF!</v>
      </c>
      <c r="E28" s="50" t="e">
        <f>Expenses!E29</f>
        <v>#REF!</v>
      </c>
      <c r="F28" s="50" t="e">
        <f>Expenses!F29</f>
        <v>#REF!</v>
      </c>
      <c r="G28" s="50" t="e">
        <f>Expenses!G29</f>
        <v>#REF!</v>
      </c>
      <c r="H28" s="50">
        <f>Expenses!H29</f>
        <v>89446</v>
      </c>
      <c r="I28" s="50"/>
      <c r="J28" s="50">
        <f>Expenses!J29</f>
        <v>94443</v>
      </c>
      <c r="K28" s="45">
        <f t="shared" ref="K28" si="7">J28-H28</f>
        <v>4997</v>
      </c>
      <c r="L28" s="72">
        <f>IFERROR(K28/H28,"-")</f>
        <v>5.5866109160834468E-2</v>
      </c>
      <c r="M28" s="11"/>
    </row>
    <row r="29" spans="2:13" ht="16.25" customHeight="1" x14ac:dyDescent="0.15">
      <c r="B29" s="68"/>
      <c r="C29" s="51" t="s">
        <v>19</v>
      </c>
      <c r="D29" s="58" t="e">
        <f t="shared" ref="D29:J29" si="8">SUM(D26-D28)</f>
        <v>#REF!</v>
      </c>
      <c r="E29" s="58" t="e">
        <f t="shared" si="8"/>
        <v>#REF!</v>
      </c>
      <c r="F29" s="58" t="e">
        <f t="shared" si="8"/>
        <v>#REF!</v>
      </c>
      <c r="G29" s="58" t="e">
        <f t="shared" si="8"/>
        <v>#REF!</v>
      </c>
      <c r="H29" s="58">
        <f t="shared" si="8"/>
        <v>17054</v>
      </c>
      <c r="I29" s="58"/>
      <c r="J29" s="58">
        <f t="shared" si="8"/>
        <v>257</v>
      </c>
      <c r="K29" s="58">
        <f>SUM(K26-K28)</f>
        <v>-16797</v>
      </c>
      <c r="L29" s="62"/>
    </row>
  </sheetData>
  <sheetProtection selectLockedCells="1"/>
  <sortState xmlns:xlrd2="http://schemas.microsoft.com/office/spreadsheetml/2017/richdata2" ref="B15:L23">
    <sortCondition ref="B15:B23"/>
  </sortState>
  <mergeCells count="1">
    <mergeCell ref="B3:L3"/>
  </mergeCells>
  <pageMargins left="0.7" right="0.7" top="0.75" bottom="0.75" header="0.3" footer="0.3"/>
  <pageSetup scale="73" fitToHeight="0" orientation="portrait" r:id="rId1"/>
  <headerFooter alignWithMargins="0"/>
  <ignoredErrors>
    <ignoredError sqref="H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autoPageBreaks="0" fitToPage="1"/>
  </sheetPr>
  <dimension ref="B1:R53"/>
  <sheetViews>
    <sheetView topLeftCell="A2" zoomScale="150" zoomScaleNormal="150" workbookViewId="0">
      <selection activeCell="J11" sqref="J11"/>
    </sheetView>
  </sheetViews>
  <sheetFormatPr baseColWidth="10" defaultColWidth="6.6640625" defaultRowHeight="16.25" customHeight="1" x14ac:dyDescent="0.15"/>
  <cols>
    <col min="1" max="1" width="6.6640625" style="11"/>
    <col min="2" max="2" width="11.33203125" style="27" customWidth="1"/>
    <col min="3" max="3" width="30.6640625" style="11" customWidth="1"/>
    <col min="4" max="7" width="13.5" style="18" hidden="1" customWidth="1"/>
    <col min="8" max="10" width="13.5" style="19" customWidth="1"/>
    <col min="11" max="12" width="13.5" style="1" customWidth="1"/>
    <col min="13" max="13" width="10.5" style="1" customWidth="1"/>
    <col min="14" max="14" width="6.6640625" style="11"/>
    <col min="15" max="15" width="7.5" style="11" bestFit="1" customWidth="1"/>
    <col min="16" max="16" width="10.33203125" style="11" customWidth="1"/>
    <col min="17" max="17" width="9.6640625" style="11" customWidth="1"/>
    <col min="18" max="18" width="12" style="11" customWidth="1"/>
    <col min="19" max="16384" width="6.6640625" style="11"/>
  </cols>
  <sheetData>
    <row r="1" spans="2:18" ht="16.25" customHeight="1" x14ac:dyDescent="0.15">
      <c r="B1" s="9"/>
      <c r="C1" s="1"/>
      <c r="D1" s="10"/>
      <c r="E1" s="10"/>
      <c r="F1" s="10"/>
      <c r="G1" s="10"/>
      <c r="H1" s="1"/>
      <c r="I1" s="1"/>
      <c r="J1" s="1"/>
      <c r="M1" s="2"/>
    </row>
    <row r="2" spans="2:18" ht="16.25" customHeight="1" x14ac:dyDescent="0.15">
      <c r="B2" s="163" t="s">
        <v>17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2"/>
    </row>
    <row r="3" spans="2:18" ht="42" customHeight="1" x14ac:dyDescent="0.15">
      <c r="B3" s="5" t="s">
        <v>15</v>
      </c>
      <c r="C3" s="3" t="s">
        <v>4</v>
      </c>
      <c r="D3" s="12" t="s">
        <v>0</v>
      </c>
      <c r="E3" s="12" t="s">
        <v>5</v>
      </c>
      <c r="F3" s="12" t="s">
        <v>10</v>
      </c>
      <c r="G3" s="12" t="s">
        <v>12</v>
      </c>
      <c r="H3" s="74" t="s">
        <v>136</v>
      </c>
      <c r="I3" s="74" t="s">
        <v>76</v>
      </c>
      <c r="J3" s="56" t="s">
        <v>137</v>
      </c>
      <c r="K3" s="55" t="s">
        <v>1</v>
      </c>
      <c r="L3" s="5" t="s">
        <v>2</v>
      </c>
      <c r="M3" s="11"/>
    </row>
    <row r="4" spans="2:18" ht="16.25" customHeight="1" x14ac:dyDescent="0.15">
      <c r="B4" s="13"/>
      <c r="C4" s="14"/>
      <c r="D4" s="15"/>
      <c r="E4" s="15"/>
      <c r="F4" s="15"/>
      <c r="G4" s="15"/>
      <c r="H4" s="41"/>
      <c r="I4" s="41"/>
      <c r="J4" s="52"/>
      <c r="K4" s="52"/>
      <c r="L4" s="17"/>
      <c r="M4" s="11"/>
      <c r="P4" s="18"/>
      <c r="R4" s="19"/>
    </row>
    <row r="5" spans="2:18" ht="16.25" customHeight="1" x14ac:dyDescent="0.15">
      <c r="B5" s="13">
        <v>6030</v>
      </c>
      <c r="C5" s="14" t="s">
        <v>79</v>
      </c>
      <c r="D5" s="15"/>
      <c r="E5" s="15"/>
      <c r="F5" s="15"/>
      <c r="G5" s="15"/>
      <c r="H5" s="80">
        <v>500</v>
      </c>
      <c r="I5" s="80"/>
      <c r="J5" s="43">
        <v>500</v>
      </c>
      <c r="K5" s="52">
        <f t="shared" ref="K5:K17" si="0">J5-H5</f>
        <v>0</v>
      </c>
      <c r="L5" s="17">
        <f t="shared" ref="L5:L17" si="1">IFERROR(K5/H5,"-")</f>
        <v>0</v>
      </c>
      <c r="M5" s="11"/>
      <c r="P5" s="18"/>
      <c r="R5" s="19"/>
    </row>
    <row r="6" spans="2:18" ht="16.25" customHeight="1" x14ac:dyDescent="0.15">
      <c r="B6" s="13">
        <v>6035</v>
      </c>
      <c r="C6" s="7" t="s">
        <v>34</v>
      </c>
      <c r="D6" s="23">
        <v>25384.31</v>
      </c>
      <c r="E6" s="15">
        <v>10185.23</v>
      </c>
      <c r="F6" s="15">
        <v>17804</v>
      </c>
      <c r="G6" s="15">
        <v>33561.620000000003</v>
      </c>
      <c r="H6" s="41">
        <v>3000</v>
      </c>
      <c r="I6" s="41"/>
      <c r="J6" s="43">
        <v>3000</v>
      </c>
      <c r="K6" s="52">
        <f t="shared" si="0"/>
        <v>0</v>
      </c>
      <c r="L6" s="17">
        <f t="shared" si="1"/>
        <v>0</v>
      </c>
      <c r="M6" s="11"/>
      <c r="P6" s="18"/>
      <c r="R6" s="19"/>
    </row>
    <row r="7" spans="2:18" ht="16.25" customHeight="1" x14ac:dyDescent="0.15">
      <c r="B7" s="13">
        <v>6040</v>
      </c>
      <c r="C7" s="7" t="s">
        <v>27</v>
      </c>
      <c r="D7" s="23">
        <v>133.43</v>
      </c>
      <c r="E7" s="15">
        <v>50</v>
      </c>
      <c r="F7" s="15">
        <v>35</v>
      </c>
      <c r="G7" s="15">
        <v>30</v>
      </c>
      <c r="H7" s="41">
        <v>4212</v>
      </c>
      <c r="I7" s="41">
        <v>3600</v>
      </c>
      <c r="J7" s="43">
        <f>Details!E18</f>
        <v>3850</v>
      </c>
      <c r="K7" s="52">
        <f t="shared" si="0"/>
        <v>-362</v>
      </c>
      <c r="L7" s="17">
        <f t="shared" si="1"/>
        <v>-8.594491927825261E-2</v>
      </c>
      <c r="M7" s="11"/>
      <c r="P7" s="18"/>
      <c r="R7" s="19"/>
    </row>
    <row r="8" spans="2:18" ht="16.25" customHeight="1" x14ac:dyDescent="0.15">
      <c r="B8" s="13">
        <v>6050</v>
      </c>
      <c r="C8" s="7" t="s">
        <v>26</v>
      </c>
      <c r="D8" s="23">
        <v>1035.1400000000001</v>
      </c>
      <c r="E8" s="15">
        <v>570</v>
      </c>
      <c r="F8" s="15">
        <v>430</v>
      </c>
      <c r="G8" s="15">
        <v>1450</v>
      </c>
      <c r="H8" s="41">
        <v>8505</v>
      </c>
      <c r="I8" s="41">
        <v>7759</v>
      </c>
      <c r="J8" s="43">
        <f>Details!E19</f>
        <v>6314</v>
      </c>
      <c r="K8" s="52">
        <f t="shared" si="0"/>
        <v>-2191</v>
      </c>
      <c r="L8" s="17">
        <f t="shared" si="1"/>
        <v>-0.25761316872427986</v>
      </c>
      <c r="M8" s="11"/>
    </row>
    <row r="9" spans="2:18" ht="16.25" customHeight="1" x14ac:dyDescent="0.15">
      <c r="B9" s="13">
        <v>6055</v>
      </c>
      <c r="C9" s="7" t="s">
        <v>28</v>
      </c>
      <c r="D9" s="23">
        <v>10400</v>
      </c>
      <c r="E9" s="15">
        <v>10800</v>
      </c>
      <c r="F9" s="15">
        <v>10000</v>
      </c>
      <c r="G9" s="15">
        <v>10400</v>
      </c>
      <c r="H9" s="41">
        <v>8100</v>
      </c>
      <c r="I9" s="41"/>
      <c r="J9" s="43">
        <f>Details!E20</f>
        <v>7700</v>
      </c>
      <c r="K9" s="52">
        <f t="shared" si="0"/>
        <v>-400</v>
      </c>
      <c r="L9" s="17">
        <f t="shared" si="1"/>
        <v>-4.9382716049382713E-2</v>
      </c>
      <c r="M9" s="11"/>
    </row>
    <row r="10" spans="2:18" ht="16.25" customHeight="1" x14ac:dyDescent="0.15">
      <c r="B10" s="13">
        <v>6065</v>
      </c>
      <c r="C10" s="7" t="s">
        <v>91</v>
      </c>
      <c r="D10" s="24"/>
      <c r="E10" s="15"/>
      <c r="F10" s="15"/>
      <c r="G10" s="15"/>
      <c r="H10" s="41">
        <v>0</v>
      </c>
      <c r="I10" s="41"/>
      <c r="J10" s="43">
        <v>1000</v>
      </c>
      <c r="K10" s="52">
        <f t="shared" si="0"/>
        <v>1000</v>
      </c>
      <c r="L10" s="17" t="str">
        <f t="shared" si="1"/>
        <v>-</v>
      </c>
      <c r="M10" s="11"/>
    </row>
    <row r="11" spans="2:18" ht="16.25" customHeight="1" x14ac:dyDescent="0.15">
      <c r="B11" s="13">
        <v>6070</v>
      </c>
      <c r="C11" s="7" t="s">
        <v>29</v>
      </c>
      <c r="D11" s="23">
        <v>5333.21</v>
      </c>
      <c r="E11" s="15">
        <v>6286.89</v>
      </c>
      <c r="F11" s="15">
        <v>7665</v>
      </c>
      <c r="G11" s="15">
        <v>12525.62</v>
      </c>
      <c r="H11" s="41">
        <v>30800</v>
      </c>
      <c r="I11" s="41">
        <v>10310</v>
      </c>
      <c r="J11" s="43">
        <f>Details!E21</f>
        <v>30800</v>
      </c>
      <c r="K11" s="52">
        <f t="shared" si="0"/>
        <v>0</v>
      </c>
      <c r="L11" s="17">
        <f t="shared" si="1"/>
        <v>0</v>
      </c>
      <c r="M11" s="11"/>
    </row>
    <row r="12" spans="2:18" ht="16.25" customHeight="1" x14ac:dyDescent="0.15">
      <c r="B12" s="13">
        <v>6085</v>
      </c>
      <c r="C12" s="14" t="s">
        <v>24</v>
      </c>
      <c r="D12" s="15"/>
      <c r="E12" s="15"/>
      <c r="F12" s="15"/>
      <c r="G12" s="15"/>
      <c r="H12" s="80">
        <v>1250</v>
      </c>
      <c r="I12" s="80"/>
      <c r="J12" s="43">
        <v>1250</v>
      </c>
      <c r="K12" s="52">
        <f t="shared" si="0"/>
        <v>0</v>
      </c>
      <c r="L12" s="17">
        <f t="shared" si="1"/>
        <v>0</v>
      </c>
      <c r="M12" s="11"/>
    </row>
    <row r="13" spans="2:18" ht="16.25" customHeight="1" x14ac:dyDescent="0.15">
      <c r="B13" s="13">
        <v>6100</v>
      </c>
      <c r="C13" s="7" t="s">
        <v>86</v>
      </c>
      <c r="D13" s="23">
        <v>1563.43</v>
      </c>
      <c r="E13" s="15">
        <v>1206.43</v>
      </c>
      <c r="F13" s="15">
        <v>1532</v>
      </c>
      <c r="G13" s="15">
        <v>1174.52</v>
      </c>
      <c r="H13" s="41">
        <v>4901</v>
      </c>
      <c r="I13" s="41">
        <f>46+2269</f>
        <v>2315</v>
      </c>
      <c r="J13" s="43">
        <f>Details!E29</f>
        <v>5101</v>
      </c>
      <c r="K13" s="52">
        <f t="shared" si="0"/>
        <v>200</v>
      </c>
      <c r="L13" s="17">
        <f t="shared" si="1"/>
        <v>4.0807998367680065E-2</v>
      </c>
      <c r="M13" s="11"/>
    </row>
    <row r="14" spans="2:18" ht="16.25" customHeight="1" x14ac:dyDescent="0.15">
      <c r="B14" s="13">
        <v>6110</v>
      </c>
      <c r="C14" s="7" t="s">
        <v>31</v>
      </c>
      <c r="D14" s="23">
        <v>29380.04</v>
      </c>
      <c r="E14" s="15">
        <v>26675.040000000001</v>
      </c>
      <c r="F14" s="15">
        <v>29910</v>
      </c>
      <c r="G14" s="15">
        <v>26539.88</v>
      </c>
      <c r="H14" s="41">
        <v>350</v>
      </c>
      <c r="I14" s="41"/>
      <c r="J14" s="43">
        <v>350</v>
      </c>
      <c r="K14" s="52">
        <f t="shared" si="0"/>
        <v>0</v>
      </c>
      <c r="L14" s="17">
        <f t="shared" si="1"/>
        <v>0</v>
      </c>
      <c r="M14" s="11"/>
    </row>
    <row r="15" spans="2:18" ht="16.25" customHeight="1" x14ac:dyDescent="0.15">
      <c r="B15" s="13">
        <v>6130</v>
      </c>
      <c r="C15" s="7" t="s">
        <v>138</v>
      </c>
      <c r="D15" s="23"/>
      <c r="E15" s="15"/>
      <c r="F15" s="15"/>
      <c r="G15" s="15"/>
      <c r="H15" s="41">
        <v>0</v>
      </c>
      <c r="I15" s="41"/>
      <c r="J15" s="43">
        <v>6500</v>
      </c>
      <c r="K15" s="52">
        <f t="shared" si="0"/>
        <v>6500</v>
      </c>
      <c r="L15" s="17" t="str">
        <f>IFERROR(K15/H15,"-")</f>
        <v>-</v>
      </c>
      <c r="M15" s="11"/>
    </row>
    <row r="16" spans="2:18" ht="16.25" customHeight="1" x14ac:dyDescent="0.15">
      <c r="B16" s="13">
        <v>6135</v>
      </c>
      <c r="C16" s="7" t="s">
        <v>30</v>
      </c>
      <c r="D16" s="23">
        <v>6793.08</v>
      </c>
      <c r="E16" s="15">
        <v>2826.48</v>
      </c>
      <c r="F16" s="15">
        <v>6588</v>
      </c>
      <c r="G16" s="15">
        <v>2340.3000000000002</v>
      </c>
      <c r="H16" s="41">
        <v>4984</v>
      </c>
      <c r="I16" s="41">
        <v>2538</v>
      </c>
      <c r="J16" s="43">
        <f>Details!E22</f>
        <v>4984</v>
      </c>
      <c r="K16" s="52">
        <f t="shared" si="0"/>
        <v>0</v>
      </c>
      <c r="L16" s="17">
        <f t="shared" si="1"/>
        <v>0</v>
      </c>
      <c r="M16" s="11"/>
    </row>
    <row r="17" spans="2:13" ht="16.25" customHeight="1" x14ac:dyDescent="0.15">
      <c r="B17" s="13">
        <v>6140</v>
      </c>
      <c r="C17" s="7" t="s">
        <v>49</v>
      </c>
      <c r="D17" s="24"/>
      <c r="E17" s="15"/>
      <c r="F17" s="15"/>
      <c r="G17" s="15"/>
      <c r="H17" s="41"/>
      <c r="I17" s="41"/>
      <c r="J17" s="43">
        <v>250</v>
      </c>
      <c r="K17" s="52">
        <f t="shared" si="0"/>
        <v>250</v>
      </c>
      <c r="L17" s="17" t="str">
        <f t="shared" si="1"/>
        <v>-</v>
      </c>
      <c r="M17" s="11"/>
    </row>
    <row r="18" spans="2:13" ht="16.25" customHeight="1" x14ac:dyDescent="0.15">
      <c r="B18" s="13">
        <v>6145</v>
      </c>
      <c r="C18" s="7" t="s">
        <v>35</v>
      </c>
      <c r="D18" s="23">
        <v>9706.7000000000007</v>
      </c>
      <c r="E18" s="15">
        <v>9112.7800000000007</v>
      </c>
      <c r="F18" s="15">
        <v>13512</v>
      </c>
      <c r="G18" s="15">
        <v>20976.92</v>
      </c>
      <c r="H18" s="41">
        <v>2244</v>
      </c>
      <c r="I18" s="41">
        <v>1119</v>
      </c>
      <c r="J18" s="43">
        <f>Details!E24</f>
        <v>2244</v>
      </c>
      <c r="K18" s="52">
        <f t="shared" ref="K18:K25" si="2">J18-H18</f>
        <v>0</v>
      </c>
      <c r="L18" s="17">
        <f t="shared" ref="L18:L25" si="3">IFERROR(K18/H18,"-")</f>
        <v>0</v>
      </c>
      <c r="M18" s="11"/>
    </row>
    <row r="19" spans="2:13" ht="16.25" customHeight="1" x14ac:dyDescent="0.15">
      <c r="B19" s="13">
        <v>6150</v>
      </c>
      <c r="C19" s="7" t="s">
        <v>32</v>
      </c>
      <c r="D19" s="23">
        <v>6876.8</v>
      </c>
      <c r="E19" s="15">
        <v>4380.99</v>
      </c>
      <c r="F19" s="15">
        <v>4040</v>
      </c>
      <c r="G19" s="15">
        <v>4216.12</v>
      </c>
      <c r="H19" s="41">
        <v>2000</v>
      </c>
      <c r="I19" s="41"/>
      <c r="J19" s="43">
        <v>2000</v>
      </c>
      <c r="K19" s="52">
        <f t="shared" si="2"/>
        <v>0</v>
      </c>
      <c r="L19" s="17">
        <f t="shared" si="3"/>
        <v>0</v>
      </c>
      <c r="M19" s="11"/>
    </row>
    <row r="20" spans="2:13" ht="16.25" customHeight="1" x14ac:dyDescent="0.15">
      <c r="B20" s="13">
        <v>7010</v>
      </c>
      <c r="C20" s="14" t="s">
        <v>25</v>
      </c>
      <c r="D20" s="15"/>
      <c r="E20" s="15"/>
      <c r="F20" s="15"/>
      <c r="G20" s="15"/>
      <c r="H20" s="80">
        <v>9000</v>
      </c>
      <c r="I20" s="80"/>
      <c r="J20" s="43">
        <v>9000</v>
      </c>
      <c r="K20" s="52">
        <f t="shared" si="2"/>
        <v>0</v>
      </c>
      <c r="L20" s="17">
        <f t="shared" si="3"/>
        <v>0</v>
      </c>
      <c r="M20" s="11"/>
    </row>
    <row r="21" spans="2:13" ht="16.25" customHeight="1" x14ac:dyDescent="0.15">
      <c r="B21" s="13">
        <v>7020</v>
      </c>
      <c r="C21" s="7" t="s">
        <v>82</v>
      </c>
      <c r="D21" s="24"/>
      <c r="E21" s="15"/>
      <c r="F21" s="15"/>
      <c r="G21" s="15"/>
      <c r="H21" s="41">
        <v>1000</v>
      </c>
      <c r="I21" s="41"/>
      <c r="J21" s="43">
        <v>1000</v>
      </c>
      <c r="K21" s="52">
        <f t="shared" si="2"/>
        <v>0</v>
      </c>
      <c r="L21" s="17">
        <f t="shared" si="3"/>
        <v>0</v>
      </c>
      <c r="M21" s="11"/>
    </row>
    <row r="22" spans="2:13" ht="16.25" customHeight="1" x14ac:dyDescent="0.15">
      <c r="B22" s="13">
        <v>7030</v>
      </c>
      <c r="C22" s="7" t="s">
        <v>81</v>
      </c>
      <c r="D22" s="24"/>
      <c r="E22" s="15"/>
      <c r="F22" s="15"/>
      <c r="G22" s="15"/>
      <c r="H22" s="41">
        <v>1000</v>
      </c>
      <c r="I22" s="41">
        <v>135</v>
      </c>
      <c r="J22" s="43">
        <v>1000</v>
      </c>
      <c r="K22" s="52">
        <f t="shared" si="2"/>
        <v>0</v>
      </c>
      <c r="L22" s="17">
        <f t="shared" si="3"/>
        <v>0</v>
      </c>
      <c r="M22" s="11"/>
    </row>
    <row r="23" spans="2:13" ht="16.25" customHeight="1" x14ac:dyDescent="0.15">
      <c r="B23" s="13">
        <v>7040</v>
      </c>
      <c r="C23" s="7" t="s">
        <v>38</v>
      </c>
      <c r="D23" s="24">
        <v>7570.4</v>
      </c>
      <c r="E23" s="15">
        <v>986.94</v>
      </c>
      <c r="F23" s="15">
        <v>9899</v>
      </c>
      <c r="G23" s="15">
        <v>12455.27</v>
      </c>
      <c r="H23" s="41">
        <v>3000</v>
      </c>
      <c r="I23" s="41">
        <v>3337</v>
      </c>
      <c r="J23" s="43">
        <v>3000</v>
      </c>
      <c r="K23" s="52">
        <f t="shared" si="2"/>
        <v>0</v>
      </c>
      <c r="L23" s="17">
        <f t="shared" si="3"/>
        <v>0</v>
      </c>
      <c r="M23" s="11"/>
    </row>
    <row r="24" spans="2:13" ht="16.25" customHeight="1" x14ac:dyDescent="0.15">
      <c r="B24" s="13">
        <v>7041</v>
      </c>
      <c r="C24" s="7" t="s">
        <v>37</v>
      </c>
      <c r="D24" s="23">
        <v>1606.57</v>
      </c>
      <c r="E24" s="15">
        <v>1766.2</v>
      </c>
      <c r="F24" s="15">
        <v>1627</v>
      </c>
      <c r="G24" s="15" t="s">
        <v>13</v>
      </c>
      <c r="H24" s="41">
        <v>3000</v>
      </c>
      <c r="I24" s="41"/>
      <c r="J24" s="43">
        <v>3000</v>
      </c>
      <c r="K24" s="52">
        <f t="shared" si="2"/>
        <v>0</v>
      </c>
      <c r="L24" s="17">
        <f t="shared" si="3"/>
        <v>0</v>
      </c>
      <c r="M24" s="11"/>
    </row>
    <row r="25" spans="2:13" ht="16.25" customHeight="1" x14ac:dyDescent="0.15">
      <c r="B25" s="13">
        <v>7050</v>
      </c>
      <c r="C25" s="7" t="s">
        <v>85</v>
      </c>
      <c r="D25" s="24">
        <v>2229.4</v>
      </c>
      <c r="E25" s="15">
        <v>2401.35</v>
      </c>
      <c r="F25" s="15">
        <v>1688</v>
      </c>
      <c r="G25" s="15">
        <v>4364.33</v>
      </c>
      <c r="H25" s="41">
        <v>1600</v>
      </c>
      <c r="I25" s="41">
        <v>100</v>
      </c>
      <c r="J25" s="43">
        <f>Details!E25</f>
        <v>1600</v>
      </c>
      <c r="K25" s="52">
        <f t="shared" si="2"/>
        <v>0</v>
      </c>
      <c r="L25" s="17">
        <f t="shared" si="3"/>
        <v>0</v>
      </c>
      <c r="M25" s="11"/>
    </row>
    <row r="26" spans="2:13" ht="16.25" customHeight="1" x14ac:dyDescent="0.15">
      <c r="B26" s="13"/>
      <c r="C26" s="7"/>
      <c r="D26" s="23"/>
      <c r="E26" s="15"/>
      <c r="F26" s="15"/>
      <c r="G26" s="15"/>
      <c r="H26" s="41"/>
      <c r="I26" s="41"/>
      <c r="J26" s="43"/>
      <c r="K26" s="52"/>
      <c r="L26" s="17"/>
      <c r="M26" s="11"/>
    </row>
    <row r="27" spans="2:13" ht="16.25" customHeight="1" x14ac:dyDescent="0.15">
      <c r="B27" s="13"/>
      <c r="C27" s="7"/>
      <c r="D27" s="24"/>
      <c r="E27" s="15"/>
      <c r="F27" s="15"/>
      <c r="G27" s="15"/>
      <c r="H27" s="41"/>
      <c r="I27" s="41"/>
      <c r="J27" s="43"/>
      <c r="K27" s="52"/>
      <c r="L27" s="17"/>
      <c r="M27" s="11"/>
    </row>
    <row r="28" spans="2:13" ht="16.25" customHeight="1" x14ac:dyDescent="0.15">
      <c r="B28" s="69"/>
      <c r="C28" s="64"/>
      <c r="D28" s="71"/>
      <c r="E28" s="71"/>
      <c r="F28" s="71"/>
      <c r="G28" s="71"/>
      <c r="H28" s="50"/>
      <c r="I28" s="50"/>
      <c r="J28" s="50"/>
      <c r="K28" s="50"/>
      <c r="L28" s="70"/>
      <c r="M28" s="11"/>
    </row>
    <row r="29" spans="2:13" ht="16.25" customHeight="1" x14ac:dyDescent="0.15">
      <c r="B29" s="40"/>
      <c r="C29" s="20" t="s">
        <v>14</v>
      </c>
      <c r="D29" s="25" t="e">
        <f>#REF!+D28</f>
        <v>#REF!</v>
      </c>
      <c r="E29" s="25" t="e">
        <f>#REF!+E28</f>
        <v>#REF!</v>
      </c>
      <c r="F29" s="25" t="e">
        <f>#REF!+F28</f>
        <v>#REF!</v>
      </c>
      <c r="G29" s="25" t="e">
        <f>#REF!+G28</f>
        <v>#REF!</v>
      </c>
      <c r="H29" s="75">
        <f>SUM(H4:H26)</f>
        <v>89446</v>
      </c>
      <c r="I29" s="75">
        <f>SUM(I4:I26)</f>
        <v>31213</v>
      </c>
      <c r="J29" s="75">
        <f>SUM(J5:J26)</f>
        <v>94443</v>
      </c>
      <c r="K29" s="75">
        <f>SUM(K4:K26)</f>
        <v>4997</v>
      </c>
      <c r="L29" s="21">
        <f t="shared" ref="L29" si="4">IFERROR(K29/H29,"-")</f>
        <v>5.5866109160834468E-2</v>
      </c>
      <c r="M29" s="11"/>
    </row>
    <row r="30" spans="2:13" ht="16.25" customHeight="1" x14ac:dyDescent="0.15">
      <c r="B30" s="9"/>
      <c r="C30" s="1"/>
      <c r="D30" s="10"/>
      <c r="E30" s="10"/>
      <c r="F30" s="10"/>
      <c r="G30" s="10"/>
      <c r="H30" s="1"/>
      <c r="I30" s="1"/>
      <c r="J30" s="1"/>
      <c r="M30" s="2"/>
    </row>
    <row r="31" spans="2:13" ht="16.25" customHeight="1" x14ac:dyDescent="0.15">
      <c r="B31" s="9"/>
      <c r="C31" s="1"/>
      <c r="D31" s="10"/>
      <c r="E31" s="26"/>
      <c r="F31" s="26"/>
      <c r="G31" s="10"/>
      <c r="H31" s="1"/>
      <c r="I31" s="1"/>
      <c r="J31" s="1"/>
      <c r="M31" s="2"/>
    </row>
    <row r="32" spans="2:13" ht="16.25" customHeight="1" x14ac:dyDescent="0.15">
      <c r="G32" s="28"/>
      <c r="H32" s="76"/>
      <c r="I32" s="76"/>
      <c r="J32" s="76"/>
      <c r="K32" s="29"/>
      <c r="L32" s="29"/>
      <c r="M32" s="30"/>
    </row>
    <row r="33" spans="7:17" ht="16.25" customHeight="1" x14ac:dyDescent="0.15">
      <c r="G33" s="28"/>
      <c r="H33" s="76"/>
      <c r="I33" s="76"/>
      <c r="J33" s="76"/>
      <c r="K33" s="29"/>
      <c r="L33" s="29"/>
      <c r="M33" s="30"/>
    </row>
    <row r="34" spans="7:17" ht="16.25" customHeight="1" x14ac:dyDescent="0.15">
      <c r="G34" s="28"/>
      <c r="H34" s="76"/>
      <c r="I34" s="76"/>
      <c r="J34" s="76"/>
      <c r="K34" s="29"/>
      <c r="L34" s="29"/>
      <c r="M34" s="31"/>
    </row>
    <row r="35" spans="7:17" ht="16.25" customHeight="1" x14ac:dyDescent="0.15">
      <c r="G35" s="28"/>
      <c r="H35" s="76"/>
      <c r="I35" s="76"/>
      <c r="J35" s="76"/>
      <c r="K35" s="32"/>
      <c r="L35" s="32"/>
      <c r="M35" s="33"/>
    </row>
    <row r="36" spans="7:17" ht="16.25" customHeight="1" x14ac:dyDescent="0.15">
      <c r="G36" s="28"/>
      <c r="H36" s="76"/>
      <c r="I36" s="76"/>
      <c r="J36" s="76"/>
    </row>
    <row r="37" spans="7:17" ht="16.25" customHeight="1" x14ac:dyDescent="0.15">
      <c r="G37" s="34"/>
      <c r="H37" s="77"/>
      <c r="I37" s="77"/>
      <c r="J37" s="77"/>
      <c r="K37" s="29"/>
      <c r="L37" s="29"/>
      <c r="M37" s="35"/>
    </row>
    <row r="38" spans="7:17" ht="16.25" customHeight="1" x14ac:dyDescent="0.15">
      <c r="G38" s="28"/>
      <c r="H38" s="76"/>
      <c r="I38" s="76"/>
      <c r="J38" s="76"/>
      <c r="K38" s="29"/>
      <c r="L38" s="29"/>
      <c r="M38" s="35"/>
    </row>
    <row r="39" spans="7:17" ht="16.25" customHeight="1" x14ac:dyDescent="0.15">
      <c r="G39" s="34"/>
      <c r="H39" s="77"/>
      <c r="I39" s="77"/>
      <c r="J39" s="77"/>
      <c r="K39" s="29"/>
      <c r="L39" s="29"/>
      <c r="M39" s="35"/>
      <c r="P39" s="19"/>
    </row>
    <row r="40" spans="7:17" ht="16.25" customHeight="1" x14ac:dyDescent="0.15">
      <c r="G40" s="28"/>
      <c r="H40" s="76"/>
      <c r="I40" s="76"/>
      <c r="J40" s="76"/>
      <c r="K40" s="29"/>
      <c r="L40" s="29"/>
      <c r="M40" s="35"/>
    </row>
    <row r="41" spans="7:17" ht="16.25" customHeight="1" x14ac:dyDescent="0.15">
      <c r="G41" s="164"/>
      <c r="H41" s="77"/>
      <c r="I41" s="77"/>
      <c r="J41" s="77"/>
      <c r="K41" s="29"/>
      <c r="L41" s="29"/>
      <c r="M41" s="35"/>
    </row>
    <row r="42" spans="7:17" ht="16.25" customHeight="1" x14ac:dyDescent="0.15">
      <c r="G42" s="164"/>
      <c r="H42" s="77"/>
      <c r="I42" s="77"/>
      <c r="J42" s="77"/>
      <c r="K42" s="29"/>
      <c r="L42" s="29"/>
      <c r="M42" s="35"/>
    </row>
    <row r="43" spans="7:17" ht="16.25" customHeight="1" x14ac:dyDescent="0.15">
      <c r="G43" s="34"/>
      <c r="H43" s="77"/>
      <c r="I43" s="77"/>
      <c r="J43" s="77"/>
      <c r="K43" s="29"/>
      <c r="L43" s="29"/>
      <c r="M43" s="35"/>
    </row>
    <row r="44" spans="7:17" ht="16.25" customHeight="1" x14ac:dyDescent="0.15">
      <c r="G44" s="28"/>
      <c r="H44" s="76"/>
      <c r="I44" s="76"/>
      <c r="J44" s="76"/>
      <c r="K44" s="29"/>
      <c r="L44" s="29"/>
      <c r="M44" s="31"/>
    </row>
    <row r="45" spans="7:17" ht="16.25" customHeight="1" x14ac:dyDescent="0.15">
      <c r="G45" s="164"/>
      <c r="H45" s="77"/>
      <c r="I45" s="77"/>
      <c r="J45" s="77"/>
      <c r="K45" s="29"/>
      <c r="L45" s="29"/>
      <c r="M45" s="35"/>
      <c r="Q45" s="19"/>
    </row>
    <row r="46" spans="7:17" ht="16.25" customHeight="1" x14ac:dyDescent="0.15">
      <c r="G46" s="164"/>
      <c r="H46" s="77"/>
      <c r="I46" s="77"/>
      <c r="J46" s="77"/>
      <c r="K46" s="19"/>
      <c r="L46" s="11"/>
      <c r="M46" s="11"/>
      <c r="Q46" s="19"/>
    </row>
    <row r="47" spans="7:17" ht="16.25" customHeight="1" x14ac:dyDescent="0.15">
      <c r="G47" s="34"/>
      <c r="H47" s="77"/>
      <c r="I47" s="77"/>
      <c r="J47" s="77"/>
      <c r="K47" s="29"/>
      <c r="L47" s="29"/>
      <c r="M47" s="35"/>
      <c r="Q47" s="19"/>
    </row>
    <row r="48" spans="7:17" ht="16.25" customHeight="1" x14ac:dyDescent="0.15">
      <c r="Q48" s="19"/>
    </row>
    <row r="50" spans="2:10" ht="16.25" customHeight="1" x14ac:dyDescent="0.15">
      <c r="G50" s="36"/>
      <c r="H50" s="78"/>
      <c r="I50" s="78"/>
      <c r="J50" s="78"/>
    </row>
    <row r="53" spans="2:10" ht="16.25" customHeight="1" x14ac:dyDescent="0.15">
      <c r="B53" s="37"/>
    </row>
  </sheetData>
  <sheetProtection selectLockedCells="1"/>
  <sortState xmlns:xlrd2="http://schemas.microsoft.com/office/spreadsheetml/2017/richdata2" ref="B5:L26">
    <sortCondition ref="B5:B26"/>
  </sortState>
  <mergeCells count="3">
    <mergeCell ref="G45:G46"/>
    <mergeCell ref="G41:G42"/>
    <mergeCell ref="B2:L2"/>
  </mergeCells>
  <pageMargins left="0.7" right="0.7" top="0.75" bottom="0.75" header="0.3" footer="0.3"/>
  <pageSetup scale="73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8417F-B2A5-49A0-A722-347951931F7F}">
  <sheetPr>
    <pageSetUpPr fitToPage="1"/>
  </sheetPr>
  <dimension ref="A2:K47"/>
  <sheetViews>
    <sheetView zoomScale="184" zoomScaleNormal="200" workbookViewId="0">
      <selection activeCell="I12" sqref="I12"/>
    </sheetView>
  </sheetViews>
  <sheetFormatPr baseColWidth="10" defaultColWidth="8.6640625" defaultRowHeight="13" x14ac:dyDescent="0.15"/>
  <cols>
    <col min="2" max="2" width="21.5" customWidth="1"/>
    <col min="3" max="3" width="11.1640625" customWidth="1"/>
    <col min="4" max="4" width="11.1640625" style="81" customWidth="1"/>
    <col min="5" max="5" width="13.1640625" style="81" customWidth="1"/>
    <col min="6" max="6" width="24.5" customWidth="1"/>
    <col min="7" max="7" width="2.1640625" customWidth="1"/>
    <col min="8" max="8" width="27.1640625" customWidth="1"/>
    <col min="10" max="10" width="2.6640625" customWidth="1"/>
    <col min="11" max="11" width="16.33203125" customWidth="1"/>
  </cols>
  <sheetData>
    <row r="2" spans="1:11" x14ac:dyDescent="0.15">
      <c r="A2" s="90"/>
      <c r="B2" s="38" t="s">
        <v>55</v>
      </c>
      <c r="C2" s="3" t="s">
        <v>42</v>
      </c>
      <c r="D2" s="82" t="s">
        <v>39</v>
      </c>
      <c r="E2" s="82" t="s">
        <v>40</v>
      </c>
      <c r="F2" s="82" t="s">
        <v>43</v>
      </c>
      <c r="H2" s="3" t="s">
        <v>44</v>
      </c>
      <c r="I2" s="3" t="s">
        <v>44</v>
      </c>
    </row>
    <row r="3" spans="1:11" x14ac:dyDescent="0.15">
      <c r="A3" s="90">
        <v>4020</v>
      </c>
      <c r="B3" s="14" t="s">
        <v>56</v>
      </c>
      <c r="C3" s="101">
        <f>I6</f>
        <v>72</v>
      </c>
      <c r="D3" s="101">
        <f>I3</f>
        <v>350</v>
      </c>
      <c r="E3" s="101">
        <f>C3*D3</f>
        <v>25200</v>
      </c>
      <c r="F3" s="82"/>
      <c r="H3" s="14" t="s">
        <v>60</v>
      </c>
      <c r="I3" s="114">
        <v>350</v>
      </c>
      <c r="K3" s="93" t="s">
        <v>26</v>
      </c>
    </row>
    <row r="4" spans="1:11" ht="14" x14ac:dyDescent="0.15">
      <c r="A4" s="90">
        <v>4020</v>
      </c>
      <c r="B4" s="6" t="s">
        <v>57</v>
      </c>
      <c r="C4" s="101">
        <f>I10</f>
        <v>2</v>
      </c>
      <c r="D4" s="101">
        <f>I4</f>
        <v>1000</v>
      </c>
      <c r="E4" s="101">
        <f t="shared" ref="E4:E5" si="0">C4*D4</f>
        <v>2000</v>
      </c>
      <c r="F4" s="82"/>
      <c r="H4" s="14" t="s">
        <v>61</v>
      </c>
      <c r="I4" s="114">
        <v>1000</v>
      </c>
      <c r="K4" s="141" t="s">
        <v>100</v>
      </c>
    </row>
    <row r="5" spans="1:11" ht="14" x14ac:dyDescent="0.15">
      <c r="A5" s="90">
        <v>4020</v>
      </c>
      <c r="B5" s="6" t="s">
        <v>58</v>
      </c>
      <c r="C5" s="101">
        <f>I11</f>
        <v>1</v>
      </c>
      <c r="D5" s="101">
        <f>I5</f>
        <v>400</v>
      </c>
      <c r="E5" s="101">
        <f t="shared" si="0"/>
        <v>400</v>
      </c>
      <c r="F5" s="82"/>
      <c r="H5" s="14" t="s">
        <v>62</v>
      </c>
      <c r="I5" s="114">
        <v>400</v>
      </c>
      <c r="K5" s="141" t="s">
        <v>101</v>
      </c>
    </row>
    <row r="6" spans="1:11" ht="14" x14ac:dyDescent="0.15">
      <c r="A6" s="90">
        <v>4021</v>
      </c>
      <c r="B6" s="6" t="s">
        <v>41</v>
      </c>
      <c r="C6" s="101">
        <f>I6+I10+I11</f>
        <v>75</v>
      </c>
      <c r="D6" s="101">
        <v>100</v>
      </c>
      <c r="E6" s="101">
        <f>SUM(C6*D6)</f>
        <v>7500</v>
      </c>
      <c r="F6" s="83"/>
      <c r="H6" s="16" t="s">
        <v>50</v>
      </c>
      <c r="I6" s="114">
        <v>72</v>
      </c>
      <c r="K6" s="141" t="s">
        <v>102</v>
      </c>
    </row>
    <row r="7" spans="1:11" ht="14" x14ac:dyDescent="0.15">
      <c r="A7" s="90">
        <v>4080</v>
      </c>
      <c r="B7" s="84" t="s">
        <v>66</v>
      </c>
      <c r="C7" s="101">
        <f>I8*I7</f>
        <v>1540</v>
      </c>
      <c r="D7" s="101">
        <f>I15</f>
        <v>25</v>
      </c>
      <c r="E7" s="101">
        <f>SUM(C7*D7)</f>
        <v>38500</v>
      </c>
      <c r="F7" s="83"/>
      <c r="H7" s="16" t="s">
        <v>45</v>
      </c>
      <c r="I7" s="114">
        <v>44</v>
      </c>
      <c r="K7" s="141" t="s">
        <v>103</v>
      </c>
    </row>
    <row r="8" spans="1:11" x14ac:dyDescent="0.15">
      <c r="A8" s="90">
        <v>4074</v>
      </c>
      <c r="B8" s="84" t="s">
        <v>67</v>
      </c>
      <c r="C8" s="101">
        <f>I18*I7</f>
        <v>220</v>
      </c>
      <c r="D8" s="101">
        <f>I16</f>
        <v>10</v>
      </c>
      <c r="E8" s="101">
        <f>SUM(C8*D8)</f>
        <v>2200</v>
      </c>
      <c r="F8" s="83"/>
      <c r="H8" s="84" t="s">
        <v>46</v>
      </c>
      <c r="I8" s="115">
        <v>35</v>
      </c>
    </row>
    <row r="9" spans="1:11" x14ac:dyDescent="0.15">
      <c r="A9" s="90"/>
      <c r="B9" s="90"/>
      <c r="C9" s="108"/>
      <c r="D9" s="108"/>
      <c r="E9" s="108"/>
      <c r="F9" s="83"/>
      <c r="H9" s="84" t="s">
        <v>47</v>
      </c>
      <c r="I9" s="115">
        <v>20</v>
      </c>
    </row>
    <row r="10" spans="1:11" x14ac:dyDescent="0.15">
      <c r="B10" s="93"/>
      <c r="C10" s="109"/>
      <c r="D10" s="109"/>
      <c r="E10" s="109"/>
      <c r="F10" s="86"/>
      <c r="H10" s="84" t="s">
        <v>51</v>
      </c>
      <c r="I10" s="115">
        <v>2</v>
      </c>
    </row>
    <row r="11" spans="1:11" x14ac:dyDescent="0.15">
      <c r="B11" s="11"/>
      <c r="C11" s="109"/>
      <c r="D11" s="109"/>
      <c r="E11" s="109"/>
      <c r="F11" s="86"/>
      <c r="H11" s="84" t="s">
        <v>52</v>
      </c>
      <c r="I11" s="115">
        <v>1</v>
      </c>
    </row>
    <row r="12" spans="1:11" x14ac:dyDescent="0.15">
      <c r="B12" s="11"/>
      <c r="C12" s="109"/>
      <c r="D12" s="109"/>
      <c r="E12" s="109"/>
      <c r="F12" s="86"/>
      <c r="H12" s="84" t="s">
        <v>53</v>
      </c>
      <c r="I12" s="115">
        <v>2</v>
      </c>
    </row>
    <row r="13" spans="1:11" x14ac:dyDescent="0.15">
      <c r="B13" s="11"/>
      <c r="C13" s="109"/>
      <c r="D13" s="109"/>
      <c r="E13" s="109"/>
      <c r="F13" s="86"/>
      <c r="H13" s="87" t="s">
        <v>59</v>
      </c>
      <c r="I13" s="116"/>
    </row>
    <row r="14" spans="1:11" x14ac:dyDescent="0.15">
      <c r="B14" s="11"/>
      <c r="C14" s="97"/>
      <c r="D14" s="97"/>
      <c r="E14" s="97"/>
      <c r="I14" s="116"/>
    </row>
    <row r="15" spans="1:11" x14ac:dyDescent="0.15">
      <c r="B15" s="85"/>
      <c r="C15" s="110"/>
      <c r="D15" s="111"/>
      <c r="E15" s="111"/>
      <c r="H15" s="84" t="s">
        <v>66</v>
      </c>
      <c r="I15" s="115">
        <v>25</v>
      </c>
    </row>
    <row r="16" spans="1:11" x14ac:dyDescent="0.15">
      <c r="C16" s="112"/>
      <c r="D16" s="112"/>
      <c r="E16" s="112"/>
      <c r="H16" s="84" t="s">
        <v>67</v>
      </c>
      <c r="I16" s="115">
        <v>10</v>
      </c>
    </row>
    <row r="17" spans="1:9" x14ac:dyDescent="0.15">
      <c r="A17" s="90"/>
      <c r="B17" s="38" t="s">
        <v>54</v>
      </c>
      <c r="C17" s="113" t="s">
        <v>42</v>
      </c>
      <c r="D17" s="113" t="s">
        <v>39</v>
      </c>
      <c r="E17" s="113" t="s">
        <v>40</v>
      </c>
      <c r="F17" s="82" t="s">
        <v>43</v>
      </c>
      <c r="H17" s="84"/>
      <c r="I17" s="115"/>
    </row>
    <row r="18" spans="1:9" x14ac:dyDescent="0.15">
      <c r="A18" s="90">
        <v>6040</v>
      </c>
      <c r="B18" s="6" t="s">
        <v>27</v>
      </c>
      <c r="C18" s="101">
        <f>I6+I10+I11+I12</f>
        <v>77</v>
      </c>
      <c r="D18" s="101">
        <f>I24</f>
        <v>50</v>
      </c>
      <c r="E18" s="101">
        <f>SUM(C18*D18)</f>
        <v>3850</v>
      </c>
      <c r="F18" s="83"/>
      <c r="H18" s="84" t="s">
        <v>68</v>
      </c>
      <c r="I18" s="115">
        <v>5</v>
      </c>
    </row>
    <row r="19" spans="1:9" x14ac:dyDescent="0.15">
      <c r="A19" s="90">
        <v>6050</v>
      </c>
      <c r="B19" s="14" t="s">
        <v>26</v>
      </c>
      <c r="C19" s="101">
        <f>I6+I10+I11+I12</f>
        <v>77</v>
      </c>
      <c r="D19" s="101">
        <f>I25</f>
        <v>82</v>
      </c>
      <c r="E19" s="101">
        <f>SUM(C19*D19)</f>
        <v>6314</v>
      </c>
      <c r="F19" s="83"/>
    </row>
    <row r="20" spans="1:9" x14ac:dyDescent="0.15">
      <c r="A20" s="90">
        <v>6055</v>
      </c>
      <c r="B20" s="6" t="s">
        <v>41</v>
      </c>
      <c r="C20" s="101">
        <f>I6+I10+I11+I12</f>
        <v>77</v>
      </c>
      <c r="D20" s="101">
        <v>100</v>
      </c>
      <c r="E20" s="101">
        <f>SUM(C20*D20)</f>
        <v>7700</v>
      </c>
      <c r="F20" s="83"/>
      <c r="H20" s="90" t="s">
        <v>73</v>
      </c>
      <c r="I20" s="91">
        <v>295</v>
      </c>
    </row>
    <row r="21" spans="1:9" x14ac:dyDescent="0.15">
      <c r="A21" s="90">
        <v>6070</v>
      </c>
      <c r="B21" s="6" t="s">
        <v>29</v>
      </c>
      <c r="C21" s="101">
        <f>I7*I8</f>
        <v>1540</v>
      </c>
      <c r="D21" s="101">
        <f>I9</f>
        <v>20</v>
      </c>
      <c r="E21" s="101">
        <f>C21*D21</f>
        <v>30800</v>
      </c>
      <c r="F21" s="83"/>
      <c r="H21" s="84" t="s">
        <v>80</v>
      </c>
      <c r="I21" s="91">
        <v>195</v>
      </c>
    </row>
    <row r="22" spans="1:9" x14ac:dyDescent="0.15">
      <c r="A22" s="90">
        <v>6135</v>
      </c>
      <c r="B22" s="6" t="s">
        <v>30</v>
      </c>
      <c r="C22" s="101">
        <f>I7+12</f>
        <v>56</v>
      </c>
      <c r="D22" s="101">
        <v>89</v>
      </c>
      <c r="E22" s="101">
        <f>C22*D22</f>
        <v>4984</v>
      </c>
      <c r="F22" s="83" t="s">
        <v>89</v>
      </c>
      <c r="H22" s="84" t="s">
        <v>104</v>
      </c>
      <c r="I22" s="91">
        <v>99</v>
      </c>
    </row>
    <row r="23" spans="1:9" x14ac:dyDescent="0.15">
      <c r="A23" s="90"/>
      <c r="B23" s="6"/>
      <c r="C23" s="101"/>
      <c r="D23" s="101"/>
      <c r="E23" s="101"/>
      <c r="F23" s="83"/>
    </row>
    <row r="24" spans="1:9" x14ac:dyDescent="0.15">
      <c r="A24" s="90">
        <v>6145</v>
      </c>
      <c r="B24" s="6" t="s">
        <v>35</v>
      </c>
      <c r="C24" s="101">
        <v>12</v>
      </c>
      <c r="D24" s="101">
        <v>187</v>
      </c>
      <c r="E24" s="101">
        <f>C24*D24</f>
        <v>2244</v>
      </c>
      <c r="F24" s="83"/>
      <c r="H24" s="84" t="s">
        <v>27</v>
      </c>
      <c r="I24" s="91">
        <v>50</v>
      </c>
    </row>
    <row r="25" spans="1:9" x14ac:dyDescent="0.15">
      <c r="A25" s="90">
        <v>7050</v>
      </c>
      <c r="B25" s="84" t="s">
        <v>83</v>
      </c>
      <c r="C25" s="101">
        <v>4</v>
      </c>
      <c r="D25" s="108">
        <v>400</v>
      </c>
      <c r="E25" s="101">
        <f>C25*D25</f>
        <v>1600</v>
      </c>
      <c r="F25" s="84" t="s">
        <v>84</v>
      </c>
      <c r="H25" s="84" t="s">
        <v>90</v>
      </c>
      <c r="I25" s="91">
        <v>82</v>
      </c>
    </row>
    <row r="26" spans="1:9" x14ac:dyDescent="0.15">
      <c r="H26" s="88" t="s">
        <v>63</v>
      </c>
    </row>
    <row r="28" spans="1:9" x14ac:dyDescent="0.15">
      <c r="A28" s="132"/>
      <c r="B28" s="133"/>
      <c r="C28" s="134"/>
      <c r="D28" s="135"/>
      <c r="E28" s="136"/>
      <c r="F28" s="133"/>
    </row>
    <row r="29" spans="1:9" x14ac:dyDescent="0.15">
      <c r="A29" s="137">
        <v>6100</v>
      </c>
      <c r="B29" s="137" t="s">
        <v>86</v>
      </c>
      <c r="C29" s="138"/>
      <c r="D29" s="139"/>
      <c r="E29" s="140">
        <f>SUM(E30:E35)</f>
        <v>5101</v>
      </c>
      <c r="F29" s="131"/>
    </row>
    <row r="30" spans="1:9" x14ac:dyDescent="0.15">
      <c r="A30" s="117"/>
      <c r="B30" s="6" t="s">
        <v>72</v>
      </c>
      <c r="C30" s="123">
        <v>1</v>
      </c>
      <c r="D30" s="101"/>
      <c r="E30" s="96">
        <f>I20+I21+I22</f>
        <v>589</v>
      </c>
      <c r="F30" s="7"/>
    </row>
    <row r="31" spans="1:9" x14ac:dyDescent="0.15">
      <c r="A31" s="117"/>
      <c r="B31" s="7" t="s">
        <v>33</v>
      </c>
      <c r="C31" s="124"/>
      <c r="D31" s="7"/>
      <c r="E31" s="121">
        <f>795+45</f>
        <v>840</v>
      </c>
      <c r="F31" s="7"/>
      <c r="H31" s="92"/>
    </row>
    <row r="32" spans="1:9" x14ac:dyDescent="0.15">
      <c r="A32" s="117"/>
      <c r="B32" s="7" t="s">
        <v>36</v>
      </c>
      <c r="C32" s="123">
        <v>1</v>
      </c>
      <c r="D32" s="101"/>
      <c r="E32" s="96">
        <v>323</v>
      </c>
      <c r="F32" s="7"/>
      <c r="H32" s="93"/>
    </row>
    <row r="33" spans="1:8" x14ac:dyDescent="0.15">
      <c r="A33" s="117"/>
      <c r="B33" s="7" t="s">
        <v>99</v>
      </c>
      <c r="C33" s="124"/>
      <c r="D33" s="7"/>
      <c r="E33" s="121">
        <v>2500</v>
      </c>
      <c r="F33" s="7"/>
      <c r="H33" s="93"/>
    </row>
    <row r="34" spans="1:8" x14ac:dyDescent="0.15">
      <c r="A34" s="117"/>
      <c r="B34" s="7" t="s">
        <v>48</v>
      </c>
      <c r="C34" s="124">
        <v>1</v>
      </c>
      <c r="D34" s="7"/>
      <c r="E34" s="121">
        <v>580</v>
      </c>
      <c r="F34" s="7"/>
      <c r="H34" s="93"/>
    </row>
    <row r="35" spans="1:8" x14ac:dyDescent="0.15">
      <c r="A35" s="90"/>
      <c r="B35" s="6" t="s">
        <v>74</v>
      </c>
      <c r="C35" s="123">
        <v>1</v>
      </c>
      <c r="D35" s="101"/>
      <c r="E35" s="96">
        <v>269</v>
      </c>
      <c r="F35" s="83"/>
    </row>
    <row r="36" spans="1:8" x14ac:dyDescent="0.15">
      <c r="E36" s="122"/>
    </row>
    <row r="41" spans="1:8" x14ac:dyDescent="0.15">
      <c r="C41" s="118"/>
      <c r="D41" s="119"/>
      <c r="E41" s="119"/>
      <c r="F41" s="120"/>
    </row>
    <row r="42" spans="1:8" x14ac:dyDescent="0.15">
      <c r="C42" s="118"/>
      <c r="D42" s="119"/>
      <c r="E42" s="119"/>
      <c r="F42" s="120"/>
    </row>
    <row r="43" spans="1:8" x14ac:dyDescent="0.15">
      <c r="C43" s="118"/>
      <c r="D43" s="119"/>
      <c r="E43" s="119"/>
      <c r="F43" s="120"/>
    </row>
    <row r="44" spans="1:8" x14ac:dyDescent="0.15">
      <c r="C44" s="118"/>
      <c r="D44" s="119"/>
      <c r="E44" s="119"/>
      <c r="F44" s="120"/>
    </row>
    <row r="45" spans="1:8" x14ac:dyDescent="0.15">
      <c r="C45" s="118"/>
      <c r="D45" s="119"/>
      <c r="E45" s="119"/>
      <c r="F45" s="120"/>
    </row>
    <row r="46" spans="1:8" x14ac:dyDescent="0.15">
      <c r="C46" s="118"/>
      <c r="D46" s="119"/>
      <c r="E46" s="119"/>
      <c r="F46" s="120"/>
    </row>
    <row r="47" spans="1:8" x14ac:dyDescent="0.15">
      <c r="C47" s="118"/>
      <c r="D47" s="119"/>
      <c r="E47" s="119"/>
    </row>
  </sheetData>
  <sortState xmlns:xlrd2="http://schemas.microsoft.com/office/spreadsheetml/2017/richdata2" ref="A18:F25">
    <sortCondition ref="A18:A25"/>
  </sortState>
  <pageMargins left="0.7" right="0.7" top="0.75" bottom="0.75" header="0.3" footer="0.3"/>
  <pageSetup scale="8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5E169-17FE-E34F-9895-07B8D7B6019B}">
  <dimension ref="A1:J42"/>
  <sheetViews>
    <sheetView workbookViewId="0">
      <selection activeCell="D14" sqref="D14"/>
    </sheetView>
  </sheetViews>
  <sheetFormatPr baseColWidth="10" defaultColWidth="8.83203125" defaultRowHeight="13" x14ac:dyDescent="0.15"/>
  <cols>
    <col min="1" max="2" width="8.83203125" style="143"/>
    <col min="3" max="3" width="26.5" style="143" bestFit="1" customWidth="1"/>
    <col min="4" max="4" width="10.1640625" style="146" bestFit="1" customWidth="1"/>
    <col min="5" max="5" width="8.83203125" style="146"/>
    <col min="6" max="6" width="12.33203125" style="146" bestFit="1" customWidth="1"/>
    <col min="7" max="16384" width="8.83203125" style="143"/>
  </cols>
  <sheetData>
    <row r="1" spans="1:10" ht="19" x14ac:dyDescent="0.25">
      <c r="A1" s="165" t="s">
        <v>105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ht="19" x14ac:dyDescent="0.25">
      <c r="A2" s="165" t="s">
        <v>106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0" ht="19" x14ac:dyDescent="0.25">
      <c r="A3" s="142"/>
      <c r="B3" s="142"/>
      <c r="C3" s="142"/>
      <c r="D3" s="142"/>
      <c r="E3" s="142"/>
      <c r="F3" s="142"/>
      <c r="G3" s="142"/>
      <c r="H3" s="142"/>
      <c r="I3" s="142"/>
      <c r="J3" s="142"/>
    </row>
    <row r="4" spans="1:10" ht="19" x14ac:dyDescent="0.25">
      <c r="A4" s="144" t="s">
        <v>107</v>
      </c>
      <c r="B4" s="142"/>
      <c r="C4" s="142"/>
      <c r="D4" s="142"/>
      <c r="E4" s="142"/>
      <c r="F4" s="142"/>
      <c r="G4" s="142"/>
      <c r="H4" s="142"/>
      <c r="I4" s="142"/>
    </row>
    <row r="6" spans="1:10" ht="16" x14ac:dyDescent="0.2">
      <c r="D6" s="145" t="s">
        <v>108</v>
      </c>
      <c r="G6" s="147" t="s">
        <v>109</v>
      </c>
    </row>
    <row r="7" spans="1:10" s="148" customFormat="1" x14ac:dyDescent="0.15">
      <c r="D7" s="149" t="s">
        <v>110</v>
      </c>
      <c r="E7" s="146"/>
      <c r="F7" s="146"/>
    </row>
    <row r="8" spans="1:10" x14ac:dyDescent="0.15">
      <c r="C8" s="143" t="s">
        <v>111</v>
      </c>
      <c r="D8" s="146">
        <v>11.02</v>
      </c>
      <c r="G8" s="146">
        <f>0.5*D8</f>
        <v>5.51</v>
      </c>
    </row>
    <row r="9" spans="1:10" x14ac:dyDescent="0.15">
      <c r="C9" s="143" t="s">
        <v>112</v>
      </c>
      <c r="D9" s="146">
        <v>41</v>
      </c>
      <c r="G9" s="146">
        <f t="shared" ref="G9:G12" si="0">0.5*D9</f>
        <v>20.5</v>
      </c>
    </row>
    <row r="10" spans="1:10" x14ac:dyDescent="0.15">
      <c r="C10" s="143" t="s">
        <v>113</v>
      </c>
      <c r="D10" s="146">
        <v>1</v>
      </c>
      <c r="G10" s="146">
        <f t="shared" si="0"/>
        <v>0.5</v>
      </c>
    </row>
    <row r="11" spans="1:10" x14ac:dyDescent="0.15">
      <c r="C11" s="143" t="s">
        <v>114</v>
      </c>
      <c r="D11" s="146">
        <v>9</v>
      </c>
      <c r="G11" s="146">
        <f t="shared" si="0"/>
        <v>4.5</v>
      </c>
    </row>
    <row r="12" spans="1:10" x14ac:dyDescent="0.15">
      <c r="C12" s="143" t="s">
        <v>115</v>
      </c>
      <c r="D12" s="146">
        <v>50</v>
      </c>
      <c r="G12" s="146">
        <f t="shared" si="0"/>
        <v>25</v>
      </c>
      <c r="H12" s="146"/>
      <c r="I12" s="146"/>
    </row>
    <row r="13" spans="1:10" x14ac:dyDescent="0.15">
      <c r="D13" s="150"/>
      <c r="F13" s="151" t="s">
        <v>116</v>
      </c>
      <c r="G13" s="150">
        <v>25</v>
      </c>
    </row>
    <row r="14" spans="1:10" s="147" customFormat="1" ht="16" x14ac:dyDescent="0.2">
      <c r="B14" s="152" t="s">
        <v>117</v>
      </c>
      <c r="C14" s="153"/>
      <c r="D14" s="153">
        <f>SUM(D8:D12)</f>
        <v>112.02</v>
      </c>
      <c r="E14" s="146"/>
      <c r="F14" s="146"/>
      <c r="G14" s="153">
        <f>SUM(G8:G13)</f>
        <v>81.009999999999991</v>
      </c>
    </row>
    <row r="15" spans="1:10" s="147" customFormat="1" ht="16" x14ac:dyDescent="0.2">
      <c r="B15" s="152"/>
      <c r="C15" s="153"/>
      <c r="D15" s="153"/>
      <c r="E15" s="146"/>
      <c r="F15" s="146"/>
    </row>
    <row r="16" spans="1:10" s="147" customFormat="1" ht="16" x14ac:dyDescent="0.2">
      <c r="A16" s="154" t="s">
        <v>118</v>
      </c>
      <c r="B16" s="152"/>
      <c r="C16" s="153"/>
      <c r="D16" s="153"/>
      <c r="E16" s="146"/>
      <c r="F16" s="146"/>
    </row>
    <row r="17" spans="1:8" s="147" customFormat="1" ht="16" x14ac:dyDescent="0.2">
      <c r="B17" s="152"/>
      <c r="C17" s="153"/>
      <c r="D17" s="153"/>
      <c r="E17" s="146"/>
      <c r="F17" s="146"/>
    </row>
    <row r="18" spans="1:8" s="147" customFormat="1" ht="16" x14ac:dyDescent="0.2">
      <c r="B18" s="152"/>
      <c r="C18" s="145" t="s">
        <v>119</v>
      </c>
      <c r="D18" s="153"/>
      <c r="E18" s="146"/>
      <c r="F18" s="146"/>
      <c r="G18" s="147" t="s">
        <v>120</v>
      </c>
    </row>
    <row r="19" spans="1:8" x14ac:dyDescent="0.15">
      <c r="C19" s="143" t="s">
        <v>121</v>
      </c>
      <c r="E19" s="146">
        <f>SUM(D14:D14)</f>
        <v>112.02</v>
      </c>
      <c r="G19" s="155">
        <f>G14</f>
        <v>81.009999999999991</v>
      </c>
    </row>
    <row r="20" spans="1:8" x14ac:dyDescent="0.15">
      <c r="C20" s="143" t="s">
        <v>122</v>
      </c>
      <c r="E20" s="150">
        <v>100</v>
      </c>
      <c r="G20" s="156">
        <v>100</v>
      </c>
      <c r="H20" s="143" t="s">
        <v>123</v>
      </c>
    </row>
    <row r="21" spans="1:8" s="153" customFormat="1" ht="16" x14ac:dyDescent="0.2">
      <c r="E21" s="153">
        <f>SUM(E19:E20)</f>
        <v>212.01999999999998</v>
      </c>
      <c r="G21" s="157">
        <f>SUM(G19:G20)</f>
        <v>181.01</v>
      </c>
    </row>
    <row r="22" spans="1:8" s="153" customFormat="1" ht="16" x14ac:dyDescent="0.2">
      <c r="B22" s="143" t="s">
        <v>124</v>
      </c>
      <c r="G22" s="157"/>
    </row>
    <row r="23" spans="1:8" s="153" customFormat="1" ht="16" x14ac:dyDescent="0.2">
      <c r="B23" s="143" t="s">
        <v>125</v>
      </c>
      <c r="G23" s="157"/>
    </row>
    <row r="24" spans="1:8" s="153" customFormat="1" ht="16" x14ac:dyDescent="0.2">
      <c r="G24" s="157"/>
    </row>
    <row r="25" spans="1:8" ht="16" x14ac:dyDescent="0.2">
      <c r="A25" s="158" t="s">
        <v>126</v>
      </c>
    </row>
    <row r="27" spans="1:8" ht="15" x14ac:dyDescent="0.2">
      <c r="B27" s="159" t="s">
        <v>127</v>
      </c>
      <c r="F27" s="146" t="s">
        <v>128</v>
      </c>
    </row>
    <row r="28" spans="1:8" x14ac:dyDescent="0.15">
      <c r="C28" s="143" t="s">
        <v>129</v>
      </c>
      <c r="E28" s="146">
        <v>350</v>
      </c>
      <c r="F28" s="146">
        <v>100</v>
      </c>
    </row>
    <row r="29" spans="1:8" x14ac:dyDescent="0.15">
      <c r="C29" s="143" t="s">
        <v>130</v>
      </c>
      <c r="E29" s="150">
        <f>-1*E21</f>
        <v>-212.01999999999998</v>
      </c>
    </row>
    <row r="30" spans="1:8" x14ac:dyDescent="0.15">
      <c r="C30" s="143" t="s">
        <v>131</v>
      </c>
      <c r="E30" s="146">
        <f>SUM(E28:E29)</f>
        <v>137.98000000000002</v>
      </c>
    </row>
    <row r="32" spans="1:8" ht="15" x14ac:dyDescent="0.2">
      <c r="B32" s="159" t="s">
        <v>132</v>
      </c>
    </row>
    <row r="33" spans="3:8" x14ac:dyDescent="0.15">
      <c r="C33" s="143" t="s">
        <v>133</v>
      </c>
      <c r="E33" s="146">
        <f>E28/2</f>
        <v>175</v>
      </c>
    </row>
    <row r="34" spans="3:8" x14ac:dyDescent="0.15">
      <c r="C34" s="143" t="s">
        <v>134</v>
      </c>
      <c r="E34" s="150">
        <f>-1*G21</f>
        <v>-181.01</v>
      </c>
    </row>
    <row r="35" spans="3:8" x14ac:dyDescent="0.15">
      <c r="C35" s="143" t="s">
        <v>131</v>
      </c>
      <c r="E35" s="146">
        <f>SUM(E33:E34)</f>
        <v>-6.0099999999999909</v>
      </c>
    </row>
    <row r="42" spans="3:8" x14ac:dyDescent="0.15">
      <c r="G42" s="11" t="s">
        <v>135</v>
      </c>
      <c r="H42" s="143">
        <v>2.2025999999999999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Simple Summary</vt:lpstr>
      <vt:lpstr>Revenue</vt:lpstr>
      <vt:lpstr>Expenses</vt:lpstr>
      <vt:lpstr>Details</vt:lpstr>
      <vt:lpstr>2026.02 Dues calc.</vt:lpstr>
      <vt:lpstr>'Simple Summary'!Print_Area</vt:lpstr>
    </vt:vector>
  </TitlesOfParts>
  <Company>Orange County BCC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Medina Garcia, Alba G</dc:creator>
  <cp:lastModifiedBy>Ali DeMaria</cp:lastModifiedBy>
  <cp:lastPrinted>2026-02-18T19:14:59Z</cp:lastPrinted>
  <dcterms:created xsi:type="dcterms:W3CDTF">2020-12-02T17:46:33Z</dcterms:created>
  <dcterms:modified xsi:type="dcterms:W3CDTF">2026-02-20T16:31:56Z</dcterms:modified>
</cp:coreProperties>
</file>